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3" i="1" l="1"/>
  <c r="F50" i="1"/>
  <c r="F469" i="1"/>
  <c r="F69" i="1"/>
  <c r="H9" i="1" l="1"/>
  <c r="H48" i="1"/>
  <c r="H469" i="1"/>
  <c r="H466" i="1"/>
  <c r="F15" i="13" l="1"/>
  <c r="F14" i="13"/>
  <c r="F16" i="13"/>
  <c r="F6" i="13"/>
  <c r="B19" i="12" l="1"/>
  <c r="G234" i="1"/>
  <c r="I244" i="1"/>
  <c r="H236" i="1"/>
  <c r="F24" i="1"/>
  <c r="F22" i="1"/>
  <c r="F614" i="1" l="1"/>
  <c r="F613" i="1"/>
  <c r="F612" i="1"/>
  <c r="I612" i="1"/>
  <c r="G612" i="1"/>
  <c r="J592" i="1"/>
  <c r="J605" i="1"/>
  <c r="I605" i="1"/>
  <c r="H605" i="1"/>
  <c r="H592" i="1"/>
  <c r="J595" i="1"/>
  <c r="I595" i="1"/>
  <c r="J594" i="1"/>
  <c r="J593" i="1"/>
  <c r="I593" i="1"/>
  <c r="H593" i="1"/>
  <c r="I592" i="1"/>
  <c r="H583" i="1"/>
  <c r="G583" i="1"/>
  <c r="F583" i="1"/>
  <c r="H585" i="1"/>
  <c r="K568" i="1"/>
  <c r="I568" i="1"/>
  <c r="G568" i="1"/>
  <c r="F568" i="1"/>
  <c r="J565" i="1"/>
  <c r="J564" i="1"/>
  <c r="J563" i="1"/>
  <c r="H565" i="1"/>
  <c r="H564" i="1"/>
  <c r="H563" i="1"/>
  <c r="G565" i="1"/>
  <c r="G564" i="1"/>
  <c r="G563" i="1"/>
  <c r="F565" i="1"/>
  <c r="F564" i="1"/>
  <c r="F563" i="1"/>
  <c r="I558" i="1"/>
  <c r="H558" i="1"/>
  <c r="G558" i="1"/>
  <c r="F558" i="1"/>
  <c r="H544" i="1" l="1"/>
  <c r="H542" i="1"/>
  <c r="H539" i="1"/>
  <c r="H538" i="1"/>
  <c r="H537" i="1"/>
  <c r="K534" i="1"/>
  <c r="K533" i="1"/>
  <c r="K532" i="1"/>
  <c r="I534" i="1"/>
  <c r="I533" i="1"/>
  <c r="I532" i="1"/>
  <c r="H534" i="1"/>
  <c r="H533" i="1"/>
  <c r="H532" i="1"/>
  <c r="F534" i="1"/>
  <c r="F533" i="1"/>
  <c r="F532" i="1"/>
  <c r="K529" i="1"/>
  <c r="J529" i="1"/>
  <c r="I529" i="1"/>
  <c r="H529" i="1"/>
  <c r="F529" i="1"/>
  <c r="J528" i="1"/>
  <c r="I528" i="1"/>
  <c r="H528" i="1"/>
  <c r="F528" i="1"/>
  <c r="J527" i="1"/>
  <c r="I527" i="1"/>
  <c r="H527" i="1"/>
  <c r="F527" i="1"/>
  <c r="I524" i="1"/>
  <c r="H524" i="1"/>
  <c r="F524" i="1"/>
  <c r="I523" i="1"/>
  <c r="H523" i="1"/>
  <c r="F523" i="1"/>
  <c r="I522" i="1"/>
  <c r="H522" i="1"/>
  <c r="F522" i="1"/>
  <c r="G524" i="1"/>
  <c r="G523" i="1"/>
  <c r="G522" i="1"/>
  <c r="G534" i="1"/>
  <c r="G533" i="1"/>
  <c r="G532" i="1"/>
  <c r="G529" i="1"/>
  <c r="G528" i="1"/>
  <c r="G527" i="1"/>
  <c r="J522" i="1"/>
  <c r="H369" i="1" l="1"/>
  <c r="G369" i="1"/>
  <c r="F369" i="1"/>
  <c r="H368" i="1"/>
  <c r="G368" i="1"/>
  <c r="F368" i="1"/>
  <c r="I361" i="1"/>
  <c r="I360" i="1"/>
  <c r="I359" i="1"/>
  <c r="I326" i="1"/>
  <c r="H326" i="1"/>
  <c r="G315" i="1"/>
  <c r="F315" i="1"/>
  <c r="G198" i="1"/>
  <c r="K241" i="1"/>
  <c r="K223" i="1"/>
  <c r="K205" i="1"/>
  <c r="K322" i="1" l="1"/>
  <c r="J321" i="1"/>
  <c r="J320" i="1"/>
  <c r="I321" i="1"/>
  <c r="I320" i="1"/>
  <c r="I316" i="1"/>
  <c r="H321" i="1"/>
  <c r="H320" i="1"/>
  <c r="H316" i="1"/>
  <c r="G321" i="1"/>
  <c r="G320" i="1"/>
  <c r="G316" i="1"/>
  <c r="F321" i="1"/>
  <c r="F320" i="1"/>
  <c r="F316" i="1"/>
  <c r="K303" i="1"/>
  <c r="J302" i="1"/>
  <c r="J301" i="1"/>
  <c r="I302" i="1"/>
  <c r="I301" i="1"/>
  <c r="I297" i="1"/>
  <c r="H302" i="1"/>
  <c r="H301" i="1"/>
  <c r="H297" i="1"/>
  <c r="G302" i="1"/>
  <c r="G301" i="1"/>
  <c r="G297" i="1"/>
  <c r="F302" i="1"/>
  <c r="F301" i="1"/>
  <c r="F297" i="1"/>
  <c r="K284" i="1"/>
  <c r="J283" i="1"/>
  <c r="J282" i="1"/>
  <c r="I283" i="1"/>
  <c r="I282" i="1"/>
  <c r="I278" i="1"/>
  <c r="H283" i="1"/>
  <c r="H282" i="1"/>
  <c r="H278" i="1"/>
  <c r="G283" i="1"/>
  <c r="G282" i="1"/>
  <c r="G278" i="1"/>
  <c r="F283" i="1"/>
  <c r="F282" i="1"/>
  <c r="F278" i="1"/>
  <c r="F284" i="1"/>
  <c r="F280" i="1"/>
  <c r="F277" i="1"/>
  <c r="K243" i="1" l="1"/>
  <c r="K225" i="1"/>
  <c r="J246" i="1"/>
  <c r="J244" i="1"/>
  <c r="J241" i="1"/>
  <c r="J239" i="1"/>
  <c r="I246" i="1"/>
  <c r="I243" i="1"/>
  <c r="I241" i="1"/>
  <c r="I240" i="1"/>
  <c r="I239" i="1"/>
  <c r="I235" i="1"/>
  <c r="H246" i="1"/>
  <c r="H245" i="1"/>
  <c r="H244" i="1"/>
  <c r="H225" i="1"/>
  <c r="H243" i="1"/>
  <c r="H241" i="1"/>
  <c r="H240" i="1"/>
  <c r="H239" i="1"/>
  <c r="H235" i="1"/>
  <c r="F246" i="1"/>
  <c r="F244" i="1"/>
  <c r="F241" i="1"/>
  <c r="F240" i="1"/>
  <c r="F239" i="1"/>
  <c r="F235" i="1"/>
  <c r="J228" i="1"/>
  <c r="J226" i="1"/>
  <c r="J223" i="1"/>
  <c r="J221" i="1"/>
  <c r="I228" i="1"/>
  <c r="I226" i="1"/>
  <c r="I225" i="1"/>
  <c r="I223" i="1"/>
  <c r="I222" i="1"/>
  <c r="I221" i="1"/>
  <c r="I217" i="1"/>
  <c r="H228" i="1"/>
  <c r="H227" i="1"/>
  <c r="H226" i="1"/>
  <c r="H223" i="1"/>
  <c r="H222" i="1"/>
  <c r="H221" i="1"/>
  <c r="H217" i="1"/>
  <c r="F228" i="1"/>
  <c r="F226" i="1"/>
  <c r="F223" i="1"/>
  <c r="F222" i="1"/>
  <c r="F242" i="1"/>
  <c r="F237" i="1"/>
  <c r="F236" i="1"/>
  <c r="F234" i="1"/>
  <c r="F224" i="1"/>
  <c r="F219" i="1"/>
  <c r="F216" i="1"/>
  <c r="F221" i="1"/>
  <c r="F217" i="1"/>
  <c r="K207" i="1"/>
  <c r="J210" i="1"/>
  <c r="J208" i="1"/>
  <c r="J205" i="1"/>
  <c r="J203" i="1"/>
  <c r="I210" i="1"/>
  <c r="I208" i="1"/>
  <c r="I207" i="1"/>
  <c r="I205" i="1"/>
  <c r="I204" i="1"/>
  <c r="I203" i="1"/>
  <c r="I199" i="1"/>
  <c r="H199" i="1"/>
  <c r="H198" i="1"/>
  <c r="I198" i="1"/>
  <c r="H210" i="1"/>
  <c r="H209" i="1"/>
  <c r="H208" i="1"/>
  <c r="H207" i="1"/>
  <c r="H205" i="1"/>
  <c r="H204" i="1"/>
  <c r="H203" i="1"/>
  <c r="F210" i="1"/>
  <c r="F208" i="1"/>
  <c r="F205" i="1"/>
  <c r="F204" i="1"/>
  <c r="F203" i="1"/>
  <c r="F199" i="1"/>
  <c r="G246" i="1" l="1"/>
  <c r="G244" i="1"/>
  <c r="G242" i="1"/>
  <c r="G241" i="1"/>
  <c r="G240" i="1"/>
  <c r="G239" i="1"/>
  <c r="G237" i="1"/>
  <c r="G236" i="1"/>
  <c r="G235" i="1"/>
  <c r="G216" i="1"/>
  <c r="G228" i="1" l="1"/>
  <c r="G226" i="1"/>
  <c r="G224" i="1"/>
  <c r="G222" i="1"/>
  <c r="G221" i="1"/>
  <c r="G219" i="1"/>
  <c r="G217" i="1"/>
  <c r="G210" i="1"/>
  <c r="G208" i="1"/>
  <c r="G206" i="1"/>
  <c r="G204" i="1"/>
  <c r="G203" i="1"/>
  <c r="G201" i="1"/>
  <c r="G199" i="1"/>
  <c r="K317" i="1" l="1"/>
  <c r="J317" i="1"/>
  <c r="I318" i="1"/>
  <c r="I317" i="1"/>
  <c r="H317" i="1"/>
  <c r="K288" i="1"/>
  <c r="J288" i="1"/>
  <c r="I288" i="1"/>
  <c r="I280" i="1"/>
  <c r="I277" i="1"/>
  <c r="H284" i="1"/>
  <c r="K242" i="1"/>
  <c r="K239" i="1"/>
  <c r="K237" i="1"/>
  <c r="K236" i="1"/>
  <c r="K234" i="1"/>
  <c r="J240" i="1"/>
  <c r="J237" i="1"/>
  <c r="J236" i="1"/>
  <c r="J234" i="1"/>
  <c r="I242" i="1"/>
  <c r="I237" i="1"/>
  <c r="I236" i="1"/>
  <c r="I234" i="1"/>
  <c r="H242" i="1"/>
  <c r="H237" i="1"/>
  <c r="H234" i="1"/>
  <c r="K224" i="1"/>
  <c r="K219" i="1"/>
  <c r="K216" i="1"/>
  <c r="J224" i="1"/>
  <c r="J219" i="1"/>
  <c r="J216" i="1"/>
  <c r="I224" i="1"/>
  <c r="I219" i="1"/>
  <c r="I216" i="1"/>
  <c r="H224" i="1"/>
  <c r="H219" i="1"/>
  <c r="H216" i="1"/>
  <c r="K206" i="1"/>
  <c r="K198" i="1"/>
  <c r="J204" i="1"/>
  <c r="J199" i="1"/>
  <c r="J198" i="1"/>
  <c r="I206" i="1"/>
  <c r="I201" i="1"/>
  <c r="H206" i="1"/>
  <c r="H201" i="1"/>
  <c r="F206" i="1"/>
  <c r="F201" i="1"/>
  <c r="F198" i="1"/>
  <c r="F307" i="1" l="1"/>
  <c r="I307" i="1"/>
  <c r="G284" i="1" l="1"/>
  <c r="G280" i="1"/>
  <c r="G277" i="1"/>
  <c r="H473" i="1"/>
  <c r="F70" i="1" l="1"/>
  <c r="J96" i="1"/>
  <c r="H404" i="1"/>
  <c r="J469" i="1"/>
  <c r="I4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0" i="14"/>
  <c r="C11" i="14"/>
  <c r="C14" i="14"/>
  <c r="C15" i="14"/>
  <c r="C18" i="14"/>
  <c r="C19" i="14"/>
  <c r="B6" i="14"/>
  <c r="C6" i="14" s="1"/>
  <c r="B7" i="14"/>
  <c r="C7" i="14" s="1"/>
  <c r="B8" i="14"/>
  <c r="C8" i="14" s="1"/>
  <c r="B9" i="14"/>
  <c r="C9" i="14" s="1"/>
  <c r="B10" i="14"/>
  <c r="B11" i="14"/>
  <c r="B12" i="14"/>
  <c r="C12" i="14" s="1"/>
  <c r="B13" i="14"/>
  <c r="C13" i="14" s="1"/>
  <c r="B14" i="14"/>
  <c r="B15" i="14"/>
  <c r="B16" i="14"/>
  <c r="C16" i="14" s="1"/>
  <c r="B17" i="14"/>
  <c r="C17" i="14" s="1"/>
  <c r="B18" i="14"/>
  <c r="B19" i="14"/>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C13" i="10"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s="1"/>
  <c r="I147" i="1"/>
  <c r="F85" i="2" s="1"/>
  <c r="C12"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0" i="2"/>
  <c r="E123"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H409" i="1" s="1"/>
  <c r="H645" i="1" s="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656" i="1" s="1"/>
  <c r="J572" i="1"/>
  <c r="H140" i="1"/>
  <c r="G646" i="1" l="1"/>
  <c r="H462" i="1"/>
  <c r="H642" i="1" s="1"/>
  <c r="L257" i="1"/>
  <c r="H193" i="1"/>
  <c r="C91" i="2"/>
  <c r="C125" i="2"/>
  <c r="I170" i="1"/>
  <c r="C32" i="10"/>
  <c r="A40" i="12"/>
  <c r="A31" i="12"/>
  <c r="G553" i="1"/>
  <c r="G662" i="1"/>
  <c r="G339" i="1"/>
  <c r="G353" i="1" s="1"/>
  <c r="E119" i="2"/>
  <c r="K339" i="1"/>
  <c r="K353" i="1" s="1"/>
  <c r="F258" i="1"/>
  <c r="F272" i="1" s="1"/>
  <c r="E13" i="13"/>
  <c r="C13" i="13" s="1"/>
  <c r="E112" i="2"/>
  <c r="J258" i="1"/>
  <c r="J272" i="1" s="1"/>
  <c r="G663" i="1"/>
  <c r="E124" i="2"/>
  <c r="D15" i="13"/>
  <c r="C15" i="13" s="1"/>
  <c r="C121" i="2"/>
  <c r="C120" i="2"/>
  <c r="C119" i="2"/>
  <c r="D6" i="13"/>
  <c r="C6" i="13" s="1"/>
  <c r="C112" i="2"/>
  <c r="C11" i="10"/>
  <c r="C110" i="2"/>
  <c r="C20" i="10"/>
  <c r="H477" i="1"/>
  <c r="H625" i="1" s="1"/>
  <c r="J625" i="1" s="1"/>
  <c r="H112" i="1"/>
  <c r="H194" i="1" s="1"/>
  <c r="G630" i="1" s="1"/>
  <c r="J630" i="1" s="1"/>
  <c r="L402" i="1"/>
  <c r="C139" i="2" s="1"/>
  <c r="D50" i="2"/>
  <c r="F339" i="1"/>
  <c r="F353" i="1" s="1"/>
  <c r="J642" i="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J620" i="1"/>
  <c r="D103" i="2"/>
  <c r="I140" i="1"/>
  <c r="A22" i="12"/>
  <c r="J653" i="1"/>
  <c r="G572" i="1"/>
  <c r="I435" i="1"/>
  <c r="G435" i="1"/>
  <c r="I664" i="1"/>
  <c r="I663" i="1" l="1"/>
  <c r="E128" i="2"/>
  <c r="H649" i="1"/>
  <c r="J649" i="1" s="1"/>
  <c r="H661" i="1"/>
  <c r="H665" i="1" s="1"/>
  <c r="H668" i="1" s="1"/>
  <c r="G36" i="14"/>
  <c r="H36" i="14" s="1"/>
  <c r="I36" i="14" s="1"/>
  <c r="E145" i="2"/>
  <c r="F194" i="1"/>
  <c r="G628" i="1" s="1"/>
  <c r="J628" i="1" s="1"/>
  <c r="C81" i="2"/>
  <c r="E5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<sst xmlns="http://schemas.openxmlformats.org/spreadsheetml/2006/main" count="5550" uniqueCount="1644">
  <si>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</si>
  <si>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</si>
  <si>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</si>
  <si>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</si>
  <si>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</si>
  <si>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</si>
  <si>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</si>
  <si>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</si>
  <si>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</si>
  <si>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</si>
  <si>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</si>
  <si>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</si>
  <si>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</si>
  <si>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</si>
  <si>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</si>
  <si>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</si>
  <si>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</si>
  <si>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</si>
  <si>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</si>
  <si>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</si>
  <si>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</si>
  <si>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</si>
  <si>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</si>
  <si>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</si>
  <si>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</si>
  <si>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</si>
  <si>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</si>
  <si>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</si>
  <si>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</si>
  <si>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</si>
  <si>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</si>
  <si>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</si>
  <si>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</si>
  <si>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</si>
  <si>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</si>
  <si>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</si>
  <si>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</si>
  <si>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</si>
  <si>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</si>
  <si>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</si>
  <si>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</si>
  <si>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</si>
  <si>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</si>
  <si>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</si>
  <si>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</si>
  <si>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</si>
  <si>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</si>
  <si>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</si>
  <si>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</si>
  <si>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</si>
  <si>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</si>
  <si>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</si>
  <si>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</si>
  <si>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</si>
  <si>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</si>
  <si>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</si>
  <si>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</si>
  <si>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</si>
  <si>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</si>
  <si>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</si>
  <si>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</si>
  <si>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</si>
  <si>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</si>
  <si>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</si>
  <si>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</si>
  <si>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</si>
  <si>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</si>
  <si>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</si>
  <si>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</si>
  <si>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</si>
  <si>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</si>
  <si>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</si>
  <si>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</si>
  <si>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</si>
  <si>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</si>
  <si>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</si>
  <si>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</si>
  <si>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</si>
  <si>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</si>
  <si>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</si>
  <si>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</si>
  <si>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</si>
  <si>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</si>
  <si>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</si>
  <si>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</si>
  <si>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</si>
  <si>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</si>
  <si>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</si>
  <si>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</si>
  <si>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</si>
  <si>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</si>
  <si>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</si>
  <si>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</si>
  <si>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</si>
  <si>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</si>
  <si>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</si>
  <si>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</si>
  <si>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</si>
  <si>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</si>
  <si>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</si>
  <si>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</si>
  <si>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</si>
  <si>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</si>
  <si>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</si>
  <si>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</si>
  <si>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</si>
  <si>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</si>
  <si>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</si>
  <si>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</si>
  <si>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</si>
  <si>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</si>
  <si>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</si>
  <si>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</si>
  <si>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</si>
  <si>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</si>
  <si>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</si>
  <si>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</si>
  <si>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</si>
  <si>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</si>
  <si>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</si>
  <si>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</si>
  <si>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</si>
  <si>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</si>
  <si>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</si>
  <si>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</si>
  <si>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</si>
  <si>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</si>
  <si>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</si>
  <si>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</si>
  <si>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</si>
  <si>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</si>
  <si>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</si>
  <si>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</si>
  <si>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</si>
  <si>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</si>
  <si>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</si>
  <si>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</si>
  <si>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</si>
  <si>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</si>
  <si>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</si>
  <si>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</si>
  <si>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</si>
  <si>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</si>
  <si>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</si>
  <si>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</si>
  <si>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</si>
  <si>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</si>
  <si>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</si>
  <si>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</si>
  <si>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</si>
  <si>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</si>
  <si>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</si>
  <si>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</si>
  <si>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</si>
  <si>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</si>
  <si>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</si>
  <si>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</si>
  <si>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</si>
  <si>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</si>
  <si>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</si>
  <si>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</si>
  <si>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</si>
  <si>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</si>
  <si>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</si>
  <si>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</si>
  <si>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</si>
  <si>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</si>
  <si>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</si>
  <si>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</si>
  <si>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</si>
  <si>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</si>
  <si>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</si>
  <si>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</si>
  <si>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</si>
  <si>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</si>
  <si>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</si>
  <si>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</si>
  <si>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</si>
  <si>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</si>
  <si>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</si>
  <si>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</si>
  <si>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</si>
  <si>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</si>
  <si>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</si>
  <si>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</si>
  <si>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</si>
  <si>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</si>
  <si>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</si>
  <si>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</si>
  <si>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</si>
  <si>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</si>
  <si>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</si>
  <si>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</si>
  <si>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</si>
  <si>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</si>
  <si>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</si>
  <si>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</si>
  <si>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</si>
  <si>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</si>
  <si>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</si>
  <si>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</si>
  <si>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</si>
  <si>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</si>
  <si>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</si>
  <si>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</si>
  <si>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</si>
  <si>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</si>
  <si>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</si>
  <si>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</si>
  <si>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</si>
  <si>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</si>
  <si>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</si>
  <si>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</si>
  <si>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</si>
  <si>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</si>
  <si>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</si>
  <si>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</si>
  <si>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</si>
  <si>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</si>
  <si>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</si>
  <si>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</si>
  <si>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</si>
  <si>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</si>
  <si>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</si>
  <si>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</si>
  <si>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</si>
  <si>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</si>
  <si>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</si>
  <si>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</si>
  <si>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</si>
  <si>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</si>
  <si>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</si>
  <si>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</si>
  <si>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</si>
  <si>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</si>
  <si>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</si>
  <si>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</si>
  <si>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</si>
  <si>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</si>
  <si>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</si>
  <si>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</si>
  <si>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</si>
  <si>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</si>
  <si>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</si>
  <si>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</si>
  <si>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</si>
  <si>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</si>
  <si>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</si>
  <si>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</si>
  <si>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</si>
  <si>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</si>
  <si>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</si>
  <si>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</si>
  <si>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</si>
  <si>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</si>
  <si>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</si>
  <si>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</si>
  <si>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</si>
  <si>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</si>
  <si>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</si>
  <si>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</si>
  <si>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</si>
  <si>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</si>
  <si>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</si>
  <si>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</si>
  <si>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</si>
  <si>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</si>
  <si>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</si>
  <si>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</si>
  <si>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</si>
  <si>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</si>
  <si>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</si>
  <si>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</si>
  <si>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</si>
  <si>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</si>
  <si>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</si>
  <si>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</si>
  <si>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</si>
  <si>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</si>
  <si>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</si>
  <si>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</si>
  <si>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</si>
  <si>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</si>
  <si>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</si>
  <si>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</si>
  <si>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</si>
  <si>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</si>
  <si>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</si>
  <si>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</si>
  <si>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</si>
  <si>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</si>
  <si>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</si>
  <si>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</si>
  <si>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</si>
  <si>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</si>
  <si>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</si>
  <si>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</si>
  <si>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</si>
  <si>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</si>
  <si>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</si>
  <si>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</si>
  <si>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</si>
  <si>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</si>
  <si>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</si>
  <si>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</si>
  <si>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</si>
  <si>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</si>
  <si>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</si>
  <si>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</si>
  <si>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</si>
  <si>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</si>
  <si>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</si>
  <si>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</si>
  <si>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</si>
  <si>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</si>
  <si>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</si>
  <si>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</si>
  <si>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</si>
  <si>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</si>
  <si>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</si>
  <si>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</si>
  <si>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</si>
  <si>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</si>
  <si>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</si>
  <si>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</si>
  <si>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</si>
  <si>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</si>
  <si>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</si>
  <si>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</si>
  <si>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</si>
  <si>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</si>
  <si>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</si>
  <si>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</si>
  <si>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</si>
  <si>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</si>
  <si>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</si>
  <si>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</si>
  <si>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</si>
  <si>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</si>
  <si>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</si>
  <si>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</si>
  <si>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</si>
  <si>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</si>
  <si>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</si>
  <si>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</si>
  <si>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</si>
  <si>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</si>
  <si>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</si>
  <si>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</si>
  <si>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</si>
  <si>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</si>
  <si>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</si>
  <si>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</si>
  <si>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</si>
  <si>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</si>
  <si>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</si>
  <si>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</si>
  <si>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</si>
  <si>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</si>
  <si>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</si>
  <si>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</si>
  <si>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</si>
  <si>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</si>
  <si>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</si>
  <si>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</si>
  <si>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</si>
  <si>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</si>
  <si>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</si>
  <si>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</si>
  <si>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</si>
  <si>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</si>
  <si>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</si>
  <si>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</si>
  <si>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</si>
  <si>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</si>
  <si>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</si>
  <si>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</si>
  <si>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</si>
  <si>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</si>
  <si>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</si>
  <si>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</si>
  <si>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</si>
  <si>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</si>
  <si>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</si>
  <si>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</si>
  <si>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</si>
  <si>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</si>
  <si>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</si>
  <si>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</si>
  <si>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</si>
  <si>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</si>
  <si>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</si>
  <si>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</si>
  <si>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</si>
  <si>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</si>
  <si>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</si>
  <si>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</si>
  <si>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</si>
  <si>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</si>
  <si>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</si>
  <si>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</si>
  <si>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</si>
  <si>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</si>
  <si>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</si>
  <si>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</si>
  <si>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</si>
  <si>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</si>
  <si>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</si>
  <si>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</si>
  <si>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</si>
  <si>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</si>
  <si>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</si>
  <si>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</si>
  <si>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</si>
  <si>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</si>
  <si>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</si>
  <si>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</si>
  <si>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</si>
  <si>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</si>
  <si>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</si>
  <si>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</si>
  <si>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</si>
  <si>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</si>
  <si>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</si>
  <si>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</si>
  <si>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</si>
  <si>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</si>
  <si>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</si>
  <si>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</si>
  <si>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</si>
  <si>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</si>
  <si>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</si>
  <si>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</si>
  <si>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</si>
  <si>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</si>
  <si>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</si>
  <si>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</si>
  <si>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</si>
  <si>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</si>
  <si>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</si>
  <si>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</si>
  <si>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</si>
  <si>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</si>
  <si>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</si>
  <si>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</si>
  <si>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</si>
  <si>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</si>
  <si>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</si>
  <si>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</si>
  <si>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</si>
  <si>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</si>
  <si>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</si>
  <si>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</si>
  <si>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</si>
  <si>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</si>
  <si>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</si>
  <si>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</si>
  <si>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</si>
  <si>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</si>
  <si>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</si>
  <si>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</si>
  <si>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</si>
  <si>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</si>
  <si>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</si>
  <si>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</si>
  <si>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</si>
  <si>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</si>
  <si>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</si>
  <si>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</si>
  <si>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</si>
  <si>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</si>
  <si>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</si>
  <si>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</si>
  <si>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</si>
  <si>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</si>
  <si>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</si>
  <si>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</si>
  <si>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</si>
  <si>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</si>
  <si>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</si>
  <si>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</si>
  <si>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</si>
  <si>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</si>
  <si>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</si>
  <si>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</si>
  <si>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</si>
  <si>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</si>
  <si>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</si>
  <si>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</si>
  <si>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</si>
  <si>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</si>
  <si>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</si>
  <si>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</si>
  <si>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</si>
  <si>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</si>
  <si>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</si>
  <si>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</si>
  <si>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</si>
  <si>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</si>
  <si>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</si>
  <si>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</si>
  <si>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</si>
  <si>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</si>
  <si>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</si>
  <si>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</si>
  <si>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</si>
  <si>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</si>
  <si>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</si>
  <si>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</si>
  <si>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</si>
  <si>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</si>
  <si>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</si>
  <si>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</si>
  <si>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</si>
  <si>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</si>
  <si>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</si>
  <si>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</si>
  <si>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</si>
  <si>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</si>
  <si>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</si>
  <si>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</si>
  <si>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</si>
  <si>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</si>
  <si>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</si>
  <si>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</si>
  <si>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</si>
  <si>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</si>
  <si>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</si>
  <si>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</si>
  <si>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</si>
  <si>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</si>
  <si>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</si>
  <si>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</si>
  <si>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</si>
  <si>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</si>
  <si>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</si>
  <si>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</si>
  <si>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</si>
  <si>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</si>
  <si>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</si>
  <si>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</si>
  <si>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</si>
  <si>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</si>
  <si>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</si>
  <si>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</si>
  <si>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</si>
  <si>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</si>
  <si>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</si>
  <si>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</si>
  <si>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</si>
  <si>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</si>
  <si>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</si>
  <si>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</si>
  <si>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</si>
  <si>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</si>
  <si>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</si>
  <si>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</si>
  <si>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</si>
  <si>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</si>
  <si>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</si>
  <si>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</si>
  <si>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</si>
  <si>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</si>
  <si>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</si>
  <si>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</si>
  <si>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</si>
  <si>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</si>
  <si>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</si>
  <si>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</si>
  <si>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</si>
  <si>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</si>
  <si>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</si>
  <si>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</si>
  <si>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</si>
  <si>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</si>
  <si>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</si>
  <si>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</si>
  <si>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</si>
  <si>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</si>
  <si>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</si>
  <si>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</si>
  <si>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</si>
  <si>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</si>
  <si>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</si>
  <si>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</si>
  <si>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</si>
  <si>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</si>
  <si>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</si>
  <si>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</si>
  <si>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</si>
  <si>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</si>
  <si>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</si>
  <si>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</si>
  <si>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</si>
  <si>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</si>
  <si>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</si>
  <si>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</si>
  <si>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</si>
  <si>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</si>
  <si>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</si>
  <si>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</si>
  <si>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</si>
  <si>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</si>
  <si>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</si>
  <si>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</si>
  <si>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</si>
  <si>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</si>
  <si>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</si>
  <si>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</si>
  <si>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</si>
  <si>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</si>
  <si>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</si>
  <si>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</si>
  <si>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</si>
  <si>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</si>
  <si>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</si>
  <si>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</si>
  <si>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</si>
  <si>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</si>
  <si>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</si>
  <si>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</si>
  <si>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</si>
  <si>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</si>
  <si>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</si>
  <si>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</si>
  <si>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</si>
  <si>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</si>
  <si>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</si>
  <si>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</si>
  <si>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</si>
  <si>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</si>
  <si>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</si>
  <si>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</si>
  <si>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</si>
  <si>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</si>
  <si>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</si>
  <si>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</si>
  <si>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</si>
  <si>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</si>
  <si>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</si>
  <si>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</si>
  <si>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</si>
  <si>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</si>
  <si>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</si>
  <si>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</si>
  <si>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</si>
  <si>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</si>
  <si>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</si>
  <si>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</si>
  <si>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</si>
  <si>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</si>
  <si>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</si>
  <si>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</si>
  <si>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</si>
  <si>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</si>
  <si>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</si>
  <si>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</si>
  <si>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</si>
  <si>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</si>
  <si>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</si>
  <si>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</si>
  <si>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</si>
  <si>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</si>
  <si>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</si>
  <si>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</si>
  <si>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</si>
  <si>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</si>
  <si>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</si>
  <si>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</si>
  <si>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</si>
  <si>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</si>
  <si>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</si>
  <si>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</si>
  <si>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</si>
  <si>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</si>
  <si>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</si>
  <si>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</si>
  <si>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</si>
  <si>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</si>
  <si>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</si>
  <si>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</si>
  <si>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</si>
  <si>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</si>
  <si>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</si>
  <si>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</si>
  <si>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</si>
  <si>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</si>
  <si>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</si>
  <si>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</si>
  <si>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</si>
  <si>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</si>
  <si>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</si>
  <si>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</si>
  <si>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</si>
  <si>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</si>
  <si>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</si>
  <si>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</si>
  <si>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</si>
  <si>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</si>
  <si>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</si>
  <si>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</si>
  <si>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</si>
  <si>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</si>
  <si>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</si>
  <si>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</si>
  <si>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</si>
  <si>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</si>
  <si>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</si>
  <si>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</si>
  <si>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</si>
  <si>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</si>
  <si>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</si>
  <si>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</si>
  <si>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</si>
  <si>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</si>
  <si>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</si>
  <si>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</si>
  <si>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</si>
  <si>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</si>
  <si>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</si>
  <si>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</si>
  <si>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</si>
  <si>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</si>
  <si>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</si>
  <si>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</si>
  <si>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</si>
  <si>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</si>
  <si>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</si>
  <si>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</si>
  <si>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</si>
  <si>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</si>
  <si>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</si>
  <si>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</si>
  <si>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</si>
  <si>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</si>
  <si>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</si>
  <si>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</si>
  <si>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</si>
  <si>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</si>
  <si>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</si>
  <si>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</si>
  <si>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</si>
  <si>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</si>
  <si>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</si>
  <si>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</si>
  <si>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</si>
  <si>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</si>
  <si>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</si>
  <si>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</si>
  <si>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</si>
  <si>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</si>
  <si>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</si>
  <si>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</si>
  <si>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</si>
  <si>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</si>
  <si>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</si>
  <si>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</si>
  <si>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</si>
  <si>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</si>
  <si>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</si>
  <si>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</si>
  <si>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</si>
  <si>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</si>
  <si>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</si>
  <si>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</si>
  <si>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</si>
  <si>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</si>
  <si>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</si>
  <si>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</si>
  <si>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</si>
  <si>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</si>
  <si>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</si>
  <si>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</si>
  <si>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</si>
  <si>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</si>
  <si>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</si>
  <si>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</si>
  <si>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</si>
  <si>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</si>
  <si>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</si>
  <si>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</si>
  <si>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</si>
  <si>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</si>
  <si>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</si>
  <si>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</si>
  <si>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</si>
  <si>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</si>
  <si>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</si>
  <si>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</si>
  <si>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</si>
  <si>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</si>
  <si>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</si>
  <si>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</si>
  <si>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</si>
  <si>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</si>
  <si>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</si>
  <si>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</si>
  <si>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</si>
  <si>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</si>
  <si>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</si>
  <si>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</si>
  <si>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</si>
  <si>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</si>
  <si>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</si>
  <si>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</si>
  <si>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</si>
  <si>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</si>
  <si>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</si>
  <si>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</si>
  <si>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</si>
  <si>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</si>
  <si>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</si>
  <si>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</si>
  <si>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</si>
  <si>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</si>
  <si>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</si>
  <si>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</si>
  <si>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</si>
  <si>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</si>
  <si>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</si>
  <si>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</si>
  <si>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</si>
  <si>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</si>
  <si>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</si>
  <si>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</si>
  <si>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</si>
  <si>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</si>
  <si>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</si>
  <si>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</si>
  <si>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</si>
  <si>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</si>
  <si>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</si>
  <si>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</si>
  <si>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</si>
  <si>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</si>
  <si>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</si>
  <si>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</si>
  <si>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</si>
  <si>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</si>
  <si>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</si>
  <si>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</si>
  <si>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</si>
  <si>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</si>
  <si>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</si>
  <si>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</si>
  <si>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</si>
  <si>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</si>
  <si>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</si>
  <si>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</si>
  <si>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</si>
  <si>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</si>
  <si>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</si>
  <si>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</si>
  <si>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</si>
  <si>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</si>
  <si>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</si>
  <si>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</si>
  <si>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</si>
  <si>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</si>
  <si>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</si>
  <si>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</si>
  <si>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</si>
  <si>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</si>
  <si>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</si>
  <si>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</si>
  <si>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</si>
  <si>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</si>
  <si>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</si>
  <si>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</si>
  <si>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</si>
  <si>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</si>
  <si>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</si>
  <si>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</si>
  <si>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</si>
  <si>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</si>
  <si>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</si>
  <si>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</si>
  <si>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</si>
  <si>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</si>
  <si>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</si>
  <si>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</si>
  <si>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</si>
  <si>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</si>
  <si>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</si>
  <si>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</si>
  <si>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</si>
  <si>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</si>
  <si>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</si>
  <si>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</si>
  <si>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</si>
  <si>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</si>
  <si>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</si>
  <si>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</si>
  <si>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</si>
  <si>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</si>
  <si>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</si>
  <si>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</si>
  <si>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</si>
  <si>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</si>
  <si>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</si>
  <si>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</si>
  <si>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</si>
  <si>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</si>
  <si>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</si>
  <si>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</si>
  <si>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</si>
  <si>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</si>
  <si>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</si>
  <si>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</si>
  <si>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</si>
  <si>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</si>
  <si>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</si>
  <si>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</si>
  <si>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</si>
  <si>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</si>
  <si>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</si>
  <si>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</si>
  <si>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</si>
  <si>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</si>
  <si>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</si>
  <si>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</si>
  <si>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</si>
  <si>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</si>
  <si>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</si>
  <si>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</si>
  <si>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</si>
  <si>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</si>
  <si>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</si>
  <si>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</si>
  <si>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</si>
  <si>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</si>
  <si>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</si>
  <si>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</si>
  <si>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</si>
  <si>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</si>
  <si>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</si>
  <si>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</si>
  <si>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</si>
  <si>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</si>
  <si>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</si>
  <si>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</si>
  <si>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</si>
  <si>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</si>
  <si>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</si>
  <si>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</si>
  <si>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</si>
  <si>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</si>
  <si>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</si>
  <si>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</si>
  <si>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</si>
  <si>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</si>
  <si>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</si>
  <si>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</si>
  <si>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</si>
  <si>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</si>
  <si>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</si>
  <si>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</si>
  <si>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</si>
  <si>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</si>
  <si>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</si>
  <si>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</si>
  <si>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</si>
  <si>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</si>
  <si>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</si>
  <si>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</si>
  <si>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</si>
  <si>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</si>
  <si>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</si>
  <si>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</si>
  <si>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</si>
  <si>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</si>
  <si>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</si>
  <si>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</si>
  <si>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</si>
  <si>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</si>
  <si>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</si>
  <si>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</si>
  <si>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</si>
  <si>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</si>
  <si>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</si>
  <si>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</si>
  <si>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</si>
  <si>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</si>
  <si>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</si>
  <si>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</si>
  <si>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</si>
  <si>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</si>
  <si>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</si>
  <si>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</si>
  <si>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</si>
  <si>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</si>
  <si>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</si>
  <si>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</si>
  <si>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</si>
  <si>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</si>
  <si>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</si>
  <si>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</si>
  <si>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</si>
  <si>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</si>
  <si>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</si>
  <si>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</si>
  <si>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</si>
  <si>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</si>
  <si>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</si>
  <si>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</si>
  <si>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</si>
  <si>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</si>
  <si>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</si>
  <si>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</si>
  <si>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</si>
  <si>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</si>
  <si>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</si>
  <si>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</si>
  <si>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</si>
  <si>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</si>
  <si>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</si>
  <si>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</si>
  <si>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</si>
  <si>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</si>
  <si>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</si>
  <si>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</si>
  <si>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</si>
  <si>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</si>
  <si>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</si>
  <si>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</si>
  <si>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</si>
  <si>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</si>
  <si>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</si>
  <si>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</si>
  <si>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</si>
  <si>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</si>
  <si>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</si>
  <si>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</si>
  <si>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</si>
  <si>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</si>
  <si>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</si>
  <si>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</si>
  <si>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</si>
  <si>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</si>
  <si>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</si>
  <si>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</si>
  <si>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</si>
  <si>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</si>
  <si>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</si>
  <si>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</si>
  <si>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</si>
  <si>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</si>
  <si>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</si>
  <si>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</si>
  <si>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</si>
  <si>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</si>
  <si>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</si>
  <si>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</si>
  <si>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</si>
  <si>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</si>
  <si>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</si>
  <si>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</si>
  <si>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</si>
  <si>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</si>
  <si>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</si>
  <si>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</si>
  <si>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</si>
  <si>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</si>
  <si>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</si>
  <si>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</si>
  <si>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</si>
  <si>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</si>
  <si>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</si>
  <si>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</si>
  <si>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</si>
  <si>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</si>
  <si>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</si>
  <si>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</si>
  <si>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</si>
  <si>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</si>
  <si>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</si>
  <si>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</si>
  <si>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</si>
  <si>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</si>
  <si>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</si>
  <si>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</si>
  <si>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</si>
  <si>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</si>
  <si>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</si>
  <si>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</si>
  <si>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</si>
  <si>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</si>
  <si>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</si>
  <si>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</si>
  <si>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</si>
  <si>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</si>
  <si>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</si>
  <si>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</si>
  <si>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</si>
  <si>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</si>
  <si>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</si>
  <si>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</si>
  <si>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</si>
  <si>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</si>
  <si>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</si>
  <si>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</si>
  <si>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</si>
  <si>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</si>
  <si>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</si>
  <si>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</si>
  <si>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</si>
  <si>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</si>
  <si>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</si>
  <si>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</si>
  <si>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</si>
  <si>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</si>
  <si>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</si>
  <si>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</si>
  <si>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</si>
  <si>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</si>
  <si>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</si>
  <si>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</si>
  <si>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</si>
  <si>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</si>
  <si>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</si>
  <si>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</si>
  <si>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</si>
  <si>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</si>
  <si>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</si>
  <si>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</si>
  <si>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</si>
  <si>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</si>
  <si>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</si>
  <si>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</si>
  <si>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</si>
  <si>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</si>
  <si>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</si>
  <si>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</si>
  <si>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</si>
  <si>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</si>
  <si>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</si>
  <si>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</si>
  <si>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</si>
  <si>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</si>
  <si>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</si>
  <si>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</si>
  <si>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</si>
  <si>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</si>
  <si>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</si>
  <si>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</si>
  <si>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</si>
  <si>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</si>
  <si>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</si>
  <si>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</si>
  <si>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</si>
  <si>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</si>
  <si>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</si>
  <si>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</si>
  <si>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</si>
  <si>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</si>
  <si>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</si>
  <si>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</si>
  <si>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</si>
  <si>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</si>
  <si>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</si>
  <si>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</si>
  <si>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</si>
  <si>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</si>
  <si>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</si>
  <si>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</si>
  <si>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</si>
  <si>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</si>
  <si>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</si>
  <si>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</si>
  <si>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</si>
  <si>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</si>
  <si>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</si>
  <si>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</si>
  <si>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</si>
  <si>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</si>
  <si>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</si>
  <si>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</si>
  <si>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</si>
  <si>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</si>
  <si>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</si>
  <si>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</si>
  <si>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</si>
  <si>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</si>
  <si>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</si>
  <si>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</si>
  <si>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</si>
  <si>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</si>
  <si>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</si>
  <si>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</si>
  <si>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</si>
  <si>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</si>
  <si>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</si>
  <si>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</si>
  <si>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</si>
  <si>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</si>
  <si>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</si>
  <si>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</si>
  <si>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</si>
  <si>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</si>
  <si>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</si>
  <si>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</si>
  <si>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</si>
  <si>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</si>
  <si>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</si>
  <si>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</si>
  <si>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</si>
  <si>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</si>
  <si>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</si>
  <si>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</si>
  <si>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</si>
  <si>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</si>
  <si>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</si>
  <si>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</si>
  <si>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</si>
  <si>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</si>
  <si>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</si>
  <si>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</si>
  <si>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</si>
  <si>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</si>
  <si>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</si>
  <si>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</si>
  <si>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</si>
  <si>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</si>
  <si>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</si>
  <si>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</si>
  <si>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</si>
  <si>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</si>
  <si>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</si>
  <si>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</si>
  <si>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</si>
  <si>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</si>
  <si>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</si>
  <si>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</si>
  <si>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</si>
  <si>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</si>
  <si>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</si>
  <si>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</si>
  <si>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</si>
  <si>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</si>
  <si>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</si>
  <si>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</si>
  <si>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</si>
  <si>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</si>
  <si>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</si>
  <si>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</si>
  <si>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</si>
  <si>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</si>
  <si>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</si>
  <si>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</si>
  <si>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</si>
  <si>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</si>
  <si>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</si>
  <si>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</si>
  <si>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</si>
  <si>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</si>
  <si>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</si>
  <si>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</si>
  <si>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</si>
  <si>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</si>
  <si>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</si>
  <si>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</si>
  <si>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</si>
  <si>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</si>
  <si>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</si>
  <si>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</si>
  <si>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</si>
  <si>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</si>
  <si>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</si>
  <si>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</si>
  <si>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</si>
  <si>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</si>
  <si>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</si>
  <si>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</si>
  <si>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</si>
  <si>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</si>
  <si>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</si>
  <si>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</si>
  <si>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</si>
  <si>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</si>
  <si>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</si>
  <si>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</si>
  <si>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</si>
  <si>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</si>
  <si>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</si>
  <si>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</si>
  <si>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</si>
  <si>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</si>
  <si>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</si>
  <si>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</si>
  <si>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</si>
  <si>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</si>
  <si>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</si>
  <si>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</si>
  <si>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</si>
  <si>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</si>
  <si>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</si>
  <si>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</si>
  <si>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</si>
  <si>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</si>
  <si>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</si>
  <si>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</si>
  <si>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</si>
  <si>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</si>
  <si>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</si>
  <si>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</si>
  <si>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</si>
  <si>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</si>
  <si>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</si>
  <si>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</si>
  <si>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</si>
  <si>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</si>
  <si>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</si>
  <si>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</si>
  <si>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</si>
  <si>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</si>
  <si>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</si>
  <si>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</si>
  <si>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</si>
  <si>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</si>
  <si>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</si>
  <si>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</si>
  <si>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</si>
  <si>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</si>
  <si>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</si>
  <si>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</si>
  <si>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</si>
  <si>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</si>
  <si>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</si>
  <si>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</si>
  <si>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</si>
  <si>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</si>
  <si>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</si>
  <si>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</si>
  <si>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</si>
  <si>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</si>
  <si>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</si>
  <si>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</si>
  <si>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</si>
  <si>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</si>
  <si>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</si>
  <si>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</si>
  <si>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</si>
  <si>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</si>
  <si>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</si>
  <si>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</si>
  <si>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</si>
  <si>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</si>
  <si>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</si>
  <si>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</si>
  <si>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</si>
  <si>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</si>
  <si>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</si>
  <si>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</si>
  <si>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</si>
  <si>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</si>
  <si>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</si>
  <si>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</si>
  <si>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</si>
  <si>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</si>
  <si>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</si>
  <si>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</si>
  <si>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</si>
  <si>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</si>
  <si>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</si>
  <si>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</si>
  <si>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</si>
  <si>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</si>
  <si>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</si>
  <si>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</si>
  <si>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</si>
  <si>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</si>
  <si>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</si>
  <si>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</si>
  <si>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</si>
  <si>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</si>
  <si>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</si>
  <si>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</si>
  <si>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</si>
  <si>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</si>
  <si>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</si>
  <si>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</si>
  <si>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</si>
  <si>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</si>
  <si>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</si>
  <si>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</si>
  <si>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</si>
  <si>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</si>
  <si>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</si>
  <si>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</si>
  <si>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</si>
  <si>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</si>
  <si>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</si>
  <si>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</si>
  <si>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</si>
  <si>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</si>
  <si>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</si>
  <si>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</si>
  <si>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</si>
  <si>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</si>
  <si>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</si>
  <si>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</si>
  <si>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</si>
  <si>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</si>
  <si>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</si>
  <si>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</si>
  <si>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</si>
  <si>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</si>
  <si>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</si>
  <si>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</si>
  <si>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</si>
  <si>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</si>
  <si>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</si>
  <si>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</si>
  <si>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</si>
  <si>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</si>
  <si>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</si>
  <si>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</si>
  <si>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</si>
  <si>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</si>
  <si>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</si>
  <si>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</si>
  <si>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</si>
  <si>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</si>
  <si>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</si>
  <si>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</si>
  <si>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</si>
  <si>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</si>
  <si>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</si>
  <si>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</si>
  <si>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</si>
  <si>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</si>
  <si>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</si>
  <si>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</si>
  <si>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</si>
  <si>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</si>
  <si>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</si>
  <si>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</si>
  <si>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</si>
  <si>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</si>
  <si>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</si>
  <si>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</si>
  <si>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</si>
  <si>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</si>
  <si>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</si>
  <si>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</si>
  <si>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</si>
  <si>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</si>
  <si>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</si>
  <si>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</si>
  <si>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</si>
  <si>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</si>
  <si>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</si>
  <si>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</si>
  <si>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</si>
  <si>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</si>
  <si>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</si>
  <si>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</si>
  <si>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</si>
  <si>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</si>
  <si>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</si>
  <si>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</si>
  <si>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</si>
  <si>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</si>
  <si>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</si>
  <si>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</si>
  <si>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</si>
  <si>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</si>
  <si>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</si>
  <si>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</si>
  <si>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</si>
  <si>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</si>
  <si>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</si>
  <si>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</si>
  <si>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</si>
  <si>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</si>
  <si>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</si>
  <si>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</si>
  <si>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</si>
  <si>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</si>
  <si>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</si>
  <si>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</si>
  <si>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</si>
  <si>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</si>
  <si>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</si>
  <si>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</si>
  <si>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</si>
  <si>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</si>
  <si>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</si>
  <si>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</si>
  <si>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</si>
  <si>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</si>
  <si>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</si>
  <si>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</si>
  <si>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</si>
  <si>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</si>
  <si>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</si>
  <si>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</si>
  <si>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</si>
  <si>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</si>
  <si>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</si>
  <si>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</si>
  <si>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</si>
  <si>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</si>
  <si>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</si>
  <si>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</si>
  <si>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</si>
  <si>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</si>
  <si>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</si>
  <si>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</si>
  <si>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</si>
  <si>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</si>
  <si>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</si>
  <si>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</si>
  <si>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</si>
  <si>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</si>
  <si>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</si>
  <si>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</si>
  <si>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</si>
  <si>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</si>
  <si>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</si>
  <si>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</si>
  <si>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</si>
  <si>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</si>
  <si>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</si>
  <si>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</si>
  <si>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</si>
  <si>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</si>
  <si>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</si>
  <si>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</si>
  <si>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</si>
  <si>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</si>
  <si>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</si>
  <si>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</si>
  <si>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</si>
  <si>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</si>
  <si>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</si>
  <si>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</si>
  <si>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</si>
  <si>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</si>
  <si>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</si>
  <si>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</si>
  <si>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</si>
  <si>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</si>
  <si>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</si>
  <si>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</si>
  <si>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</si>
  <si>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</si>
  <si>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</si>
  <si>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</si>
  <si>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</si>
  <si>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</si>
  <si>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</si>
  <si>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</si>
  <si>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</si>
  <si>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</si>
  <si>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</si>
  <si>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</si>
  <si>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</si>
  <si>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</si>
  <si>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</si>
  <si>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</si>
  <si>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</si>
  <si>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</si>
  <si>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</si>
  <si>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</si>
  <si>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</si>
  <si>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</si>
  <si>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</si>
  <si>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</si>
  <si>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</si>
  <si>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</si>
  <si>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</si>
  <si>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</si>
  <si>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</si>
  <si>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</si>
  <si>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</si>
  <si>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</si>
  <si>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</si>
  <si>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</si>
  <si>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</si>
  <si>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</si>
  <si>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</si>
  <si>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</si>
  <si>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</si>
  <si>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</si>
  <si>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</si>
  <si>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</si>
  <si>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</si>
  <si>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</si>
  <si>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</si>
  <si>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</si>
  <si>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</si>
  <si>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</si>
  <si>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</si>
  <si>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</si>
  <si>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</si>
  <si>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</si>
  <si>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</si>
  <si>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</si>
  <si>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</si>
  <si>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</si>
  <si>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</si>
  <si>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</si>
  <si>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</si>
  <si>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</si>
  <si>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</si>
  <si>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</si>
  <si>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</si>
  <si>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</si>
  <si>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</si>
  <si>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</si>
  <si>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</si>
  <si>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</si>
  <si>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</si>
  <si>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</si>
  <si>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</si>
  <si>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</si>
  <si>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</si>
  <si>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</si>
  <si>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</si>
  <si>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</si>
  <si>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</si>
  <si>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</si>
  <si>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</si>
  <si>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</si>
  <si>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</si>
  <si>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</si>
  <si>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</si>
  <si>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</si>
  <si>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</si>
  <si>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</si>
  <si>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</si>
  <si>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</si>
  <si>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</si>
  <si>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</si>
  <si>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</si>
  <si>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</si>
  <si>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</si>
  <si>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</si>
  <si>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</si>
  <si>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</si>
  <si>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</si>
  <si>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MILFORD SCHOOL DISTRICT SAU 40</t>
  </si>
  <si>
    <t>Unrealized gains for trusts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</si>
</sst>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40" zoomScaleNormal="140" workbookViewId="0">
      <pane xSplit="5" ySplit="3" topLeftCell="F648"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357</v>
      </c>
      <c r="C2" s="21">
        <v>357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1122524.1299999999</v>
      </c>
      <c r="G9" s="18">
        <v>365</v>
      </c>
      <c r="H9" s="18">
        <f>273504.96</f>
        <v>273504.96000000002</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184581.81</v>
      </c>
      <c r="G12" s="18">
        <v>53894.27</v>
      </c>
      <c r="H12" s="18">
        <v>3719.98</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168410.6-64546.37</f>
        <v>103864.23000000001</v>
      </c>
      <c r="G13" s="18">
        <v>16130.25</v>
      </c>
      <c r="H13" s="18">
        <v>243484.72</v>
      </c>
      <c r="I13" s="18"/>
      <c r="J13" s="67">
        <f>SUM(I443)</f>
        <v>5040526.25</v>
      </c>
      <c r="K13" s="24" t="s">
        <v>288</v>
      </c>
      <c r="L13" s="24" t="s">
        <v>288</v>
      </c>
      <c r="M13" s="8"/>
      <c r="N13" s="266"/>
    </row>
    <row r="14" spans="1:14" s="3" customFormat="1" ht="12.2" customHeight="1" x14ac:dyDescent="0.15">
      <c r="A14" s="1" t="s">
        <v>565</v>
      </c>
      <c r="B14" s="2" t="s">
        <v>289</v>
      </c>
      <c r="C14" s="6">
        <v>6</v>
      </c>
      <c r="D14" s="2" t="s">
        <v>428</v>
      </c>
      <c r="E14" s="6">
        <v>150</v>
      </c>
      <c r="F14" s="18">
        <v>9951.39</v>
      </c>
      <c r="G14" s="18"/>
      <c r="H14" s="18">
        <v>6410.75</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37428.129999999997</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1458349.6899999997</v>
      </c>
      <c r="G19" s="41">
        <f>SUM(G9:G18)</f>
        <v>70389.51999999999</v>
      </c>
      <c r="H19" s="41">
        <f>SUM(H9:H18)</f>
        <v>527120.41</v>
      </c>
      <c r="I19" s="41">
        <f>SUM(I9:I18)</f>
        <v>0</v>
      </c>
      <c r="J19" s="41">
        <f>SUM(J9:J18)</f>
        <v>5040526.25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57614.25</f>
        <v>57614.25</v>
      </c>
      <c r="G22" s="18"/>
      <c r="H22" s="18">
        <v>184581.81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57887.44+15683.29</f>
        <v>73570.73000000001</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212547.02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39210.36</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343732</v>
      </c>
      <c r="G32" s="41">
        <f>SUM(G22:G31)</f>
        <v>39210.36</v>
      </c>
      <c r="H32" s="41">
        <f>SUM(H22:H31)</f>
        <v>184581.81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37428.129999999997</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70005.47</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32520.65</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4938000.13</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31179.16</v>
      </c>
      <c r="H48" s="18">
        <f>58902.91+10130.73+273504.96</f>
        <v>342538.60000000003</v>
      </c>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485677</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656058.93-64546.37</f>
        <v>591512.56000000006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1114617.69</v>
      </c>
      <c r="G51" s="41">
        <f>SUM(G35:G50)</f>
        <v>31179.16</v>
      </c>
      <c r="H51" s="41">
        <f>SUM(H35:H50)</f>
        <v>342538.60000000003</v>
      </c>
      <c r="I51" s="41">
        <f>SUM(I35:I50)</f>
        <v>0</v>
      </c>
      <c r="J51" s="41">
        <f>SUM(J35:J50)</f>
        <v>5040526.25</v>
      </c>
      <c r="K51" s="45" t="s">
        <v>288</v>
      </c>
      <c r="L51" s="45" t="s">
        <v>288</v>
      </c>
      <c r="N51" s="264"/>
    </row>
    <row r="52" spans="1:14" s="3" customFormat="1" ht="12.2" customHeight="1" thickTop="1" x14ac:dyDescent="0.15">
      <c r="A52" s="38" t="s">
        <v>455</v>
      </c>
      <c r="B52" s="39" t="s">
        <v>289</v>
      </c>
      <c r="C52" s="6">
        <v>37</v>
      </c>
      <c r="D52" s="39" t="s">
        <v>653</v>
      </c>
      <c r="E52" s="39"/>
      <c r="F52" s="41">
        <f>F51+F32</f>
        <v>1458349.69</v>
      </c>
      <c r="G52" s="41">
        <f>G51+G32</f>
        <v>70389.52</v>
      </c>
      <c r="H52" s="41">
        <f>H51+H32</f>
        <v>527120.41</v>
      </c>
      <c r="I52" s="41">
        <f>I51+I32</f>
        <v>0</v>
      </c>
      <c r="J52" s="41">
        <f>J51+J32</f>
        <v>5040526.25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27506548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27506548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37022.51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810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v>64502.25</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966087.36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368457.83-64546.37</f>
        <v>303911.46000000002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13424.42+17423.59</f>
        <v>30848.010000000002</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1338679.3400000001</v>
      </c>
      <c r="G79" s="45" t="s">
        <v>288</v>
      </c>
      <c r="H79" s="41">
        <f>SUM(H63:H78)</f>
        <v>64502.25</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20442.68</v>
      </c>
      <c r="G96" s="18"/>
      <c r="H96" s="18"/>
      <c r="I96" s="18"/>
      <c r="J96" s="18">
        <f>32520.65+70005.47+35000</f>
        <v>137526.12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301921.63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17246.59</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4379.28</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14633.86</v>
      </c>
      <c r="I102" s="18"/>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20791.2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45613.16</v>
      </c>
      <c r="G111" s="41">
        <f>SUM(G96:G110)</f>
        <v>301921.63</v>
      </c>
      <c r="H111" s="41">
        <f>SUM(H96:H110)</f>
        <v>31880.45</v>
      </c>
      <c r="I111" s="41">
        <f>SUM(I96:I110)</f>
        <v>0</v>
      </c>
      <c r="J111" s="41">
        <f>SUM(J96:J110)</f>
        <v>137526.12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28890840.5</v>
      </c>
      <c r="G112" s="41">
        <f>G60+G111</f>
        <v>301921.63</v>
      </c>
      <c r="H112" s="41">
        <f>H60+H79+H94+H111</f>
        <v>96382.7</v>
      </c>
      <c r="I112" s="41">
        <f>I60+I111</f>
        <v>0</v>
      </c>
      <c r="J112" s="41">
        <f>J60+J111</f>
        <v>137526.12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7753466.5999999996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3037778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10791244.6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240864.93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304275.90000000002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51300.75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4485.25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36399.99</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10293.27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600926.83000000007</v>
      </c>
      <c r="G136" s="41">
        <f>SUM(G123:G135)</f>
        <v>10293.27</v>
      </c>
      <c r="H136" s="41">
        <f>SUM(H123:H135)</f>
        <v>36399.99</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11392171.43</v>
      </c>
      <c r="G140" s="41">
        <f>G121+SUM(G136:G137)</f>
        <v>10293.27</v>
      </c>
      <c r="H140" s="41">
        <f>H121+SUM(H136:H139)</f>
        <v>36399.99</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295496.62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105871.24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54705.72</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196112.19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608651.13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29374.9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13943.5</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35526.39</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29374.9</v>
      </c>
      <c r="G163" s="41">
        <f>SUM(G150:G162)</f>
        <v>196112.19</v>
      </c>
      <c r="H163" s="41">
        <f>SUM(H150:H162)</f>
        <v>1114194.5999999999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29374.9</v>
      </c>
      <c r="G170" s="41">
        <f>G147+G163+SUM(G164:G169)</f>
        <v>196112.19</v>
      </c>
      <c r="H170" s="41">
        <f>H147+H163+SUM(H164:H169)</f>
        <v>1114194.5999999999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v>16104.17</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16104.17</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5810</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5810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v>35000</v>
      </c>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35000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35000</v>
      </c>
      <c r="G193" s="41">
        <f>G184+SUM(G189:G192)</f>
        <v>5810</v>
      </c>
      <c r="H193" s="41">
        <f>+H184+SUM(H189:H192)</f>
        <v>0</v>
      </c>
      <c r="I193" s="41">
        <f>I178+I184+SUM(I189:I192)</f>
        <v>16104.17</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40347386.829999998</v>
      </c>
      <c r="G194" s="47">
        <f>G112+G140+G170+G193</f>
        <v>514137.09</v>
      </c>
      <c r="H194" s="47">
        <f>H112+H140+H170+H193</f>
        <v>1246977.2899999998</v>
      </c>
      <c r="I194" s="47">
        <f>I112+I140+I170+I193</f>
        <v>16104.17</v>
      </c>
      <c r="J194" s="47">
        <f>J112+J140+J193</f>
        <v>137526.12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3872927.31</f>
        <v>3872927.31</v>
      </c>
      <c r="G198" s="18">
        <f>2083966.7-0.03</f>
        <v>2083966.67</v>
      </c>
      <c r="H198" s="18">
        <f>10372.84</f>
        <v>10372.84</v>
      </c>
      <c r="I198" s="18">
        <f>116085.16</f>
        <v>116085.16</v>
      </c>
      <c r="J198" s="18">
        <f>21604.23</f>
        <v>21604.23</v>
      </c>
      <c r="K198" s="18">
        <f>271.5</f>
        <v>271.5</v>
      </c>
      <c r="L198" s="19">
        <f>SUM(F198:K198)</f>
        <v>6105227.7100000009</v>
      </c>
      <c r="M198" s="8"/>
      <c r="N198" s="266"/>
    </row>
    <row r="199" spans="1:14" s="3" customFormat="1" ht="12.2" customHeight="1" x14ac:dyDescent="0.15">
      <c r="A199" s="1" t="s">
        <v>439</v>
      </c>
      <c r="B199" s="2" t="s">
        <v>341</v>
      </c>
      <c r="C199" s="2" t="s">
        <v>291</v>
      </c>
      <c r="D199" s="2" t="s">
        <v>431</v>
      </c>
      <c r="E199" s="6">
        <v>1200</v>
      </c>
      <c r="F199" s="18">
        <f>1644688.32+148372.64</f>
        <v>1793060.96</v>
      </c>
      <c r="G199" s="18">
        <f>862556.04</f>
        <v>862556.04</v>
      </c>
      <c r="H199" s="18">
        <f>246160.38+22007.34</f>
        <v>268167.72000000003</v>
      </c>
      <c r="I199" s="18">
        <f>16109.04+490.85</f>
        <v>16599.89</v>
      </c>
      <c r="J199" s="18">
        <f>456.42</f>
        <v>456.42</v>
      </c>
      <c r="K199" s="18"/>
      <c r="L199" s="19">
        <f>SUM(F199:K199)</f>
        <v>2940841.0300000003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2000</f>
        <v>2000</v>
      </c>
      <c r="G201" s="18">
        <f>4784.73</f>
        <v>4784.7299999999996</v>
      </c>
      <c r="H201" s="18">
        <f>23400</f>
        <v>23400</v>
      </c>
      <c r="I201" s="18">
        <f>370.34</f>
        <v>370.34</v>
      </c>
      <c r="J201" s="18"/>
      <c r="K201" s="18"/>
      <c r="L201" s="19">
        <f>SUM(F201:K201)</f>
        <v>30555.07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679090.12+662646.75</f>
        <v>1341736.8700000001</v>
      </c>
      <c r="G203" s="18">
        <f>504571.36</f>
        <v>504571.36</v>
      </c>
      <c r="H203" s="18">
        <f>43254.25+31898.52</f>
        <v>75152.77</v>
      </c>
      <c r="I203" s="18">
        <f>1979.93+3097.24</f>
        <v>5077.17</v>
      </c>
      <c r="J203" s="18">
        <f>655.88+1244.05</f>
        <v>1899.9299999999998</v>
      </c>
      <c r="K203" s="18"/>
      <c r="L203" s="19">
        <f t="shared" ref="L203:L209" si="0">SUM(F203:K203)</f>
        <v>1928438.0999999999</v>
      </c>
      <c r="M203" s="8"/>
      <c r="N203" s="266"/>
    </row>
    <row r="204" spans="1:14" s="3" customFormat="1" ht="12.2" customHeight="1" x14ac:dyDescent="0.15">
      <c r="A204" s="1" t="s">
        <v>443</v>
      </c>
      <c r="B204" s="2" t="s">
        <v>341</v>
      </c>
      <c r="C204" s="2" t="s">
        <v>295</v>
      </c>
      <c r="D204" s="2" t="s">
        <v>431</v>
      </c>
      <c r="E204" s="6">
        <v>2200</v>
      </c>
      <c r="F204" s="18">
        <f>192558.73+11063.46</f>
        <v>203622.19</v>
      </c>
      <c r="G204" s="18">
        <f>63941.37</f>
        <v>63941.37</v>
      </c>
      <c r="H204" s="18">
        <f>2076.81+38830.33</f>
        <v>40907.14</v>
      </c>
      <c r="I204" s="18">
        <f>13184.74+19896.08</f>
        <v>33080.82</v>
      </c>
      <c r="J204" s="18">
        <f>459.42</f>
        <v>459.42</v>
      </c>
      <c r="K204" s="18"/>
      <c r="L204" s="19">
        <f t="shared" si="0"/>
        <v>342010.94</v>
      </c>
      <c r="M204" s="8"/>
      <c r="N204" s="266"/>
    </row>
    <row r="205" spans="1:14" s="3" customFormat="1" ht="12.2" customHeight="1" x14ac:dyDescent="0.15">
      <c r="A205" s="1" t="s">
        <v>444</v>
      </c>
      <c r="B205" s="2" t="s">
        <v>341</v>
      </c>
      <c r="C205" s="2" t="s">
        <v>296</v>
      </c>
      <c r="D205" s="2" t="s">
        <v>431</v>
      </c>
      <c r="E205" s="6">
        <v>2300</v>
      </c>
      <c r="F205" s="18">
        <f>105920.37+477162.31</f>
        <v>583082.67999999993</v>
      </c>
      <c r="G205" s="18">
        <v>304482.71999999997</v>
      </c>
      <c r="H205" s="18">
        <f>116702.1</f>
        <v>116702.1</v>
      </c>
      <c r="I205" s="18">
        <f>9027.63</f>
        <v>9027.6299999999992</v>
      </c>
      <c r="J205" s="18">
        <f>1105.13</f>
        <v>1105.1300000000001</v>
      </c>
      <c r="K205" s="18">
        <f>4169.6+2320.04</f>
        <v>6489.64</v>
      </c>
      <c r="L205" s="19">
        <f t="shared" si="0"/>
        <v>1020889.8999999999</v>
      </c>
      <c r="M205" s="8"/>
      <c r="N205" s="266"/>
    </row>
    <row r="206" spans="1:14" s="3" customFormat="1" ht="12.2" customHeight="1" x14ac:dyDescent="0.15">
      <c r="A206" s="1" t="s">
        <v>445</v>
      </c>
      <c r="B206" s="2" t="s">
        <v>341</v>
      </c>
      <c r="C206" s="2" t="s">
        <v>297</v>
      </c>
      <c r="D206" s="2" t="s">
        <v>431</v>
      </c>
      <c r="E206" s="6">
        <v>2400</v>
      </c>
      <c r="F206" s="18">
        <f>487089.12</f>
        <v>487089.12</v>
      </c>
      <c r="G206" s="18">
        <f>254895.53</f>
        <v>254895.53</v>
      </c>
      <c r="H206" s="18">
        <f>3828.83</f>
        <v>3828.83</v>
      </c>
      <c r="I206" s="18">
        <f>3384</f>
        <v>3384</v>
      </c>
      <c r="J206" s="18"/>
      <c r="K206" s="18">
        <f>2701</f>
        <v>2701</v>
      </c>
      <c r="L206" s="19">
        <f t="shared" si="0"/>
        <v>751898.48</v>
      </c>
      <c r="M206" s="8"/>
      <c r="N206" s="266"/>
    </row>
    <row r="207" spans="1:14" s="3" customFormat="1" ht="12.2" customHeight="1" x14ac:dyDescent="0.15">
      <c r="A207" s="1" t="s">
        <v>446</v>
      </c>
      <c r="B207" s="2" t="s">
        <v>341</v>
      </c>
      <c r="C207" s="2" t="s">
        <v>298</v>
      </c>
      <c r="D207" s="2" t="s">
        <v>431</v>
      </c>
      <c r="E207" s="6">
        <v>2500</v>
      </c>
      <c r="F207" s="18"/>
      <c r="G207" s="18"/>
      <c r="H207" s="18">
        <f>6.03</f>
        <v>6.03</v>
      </c>
      <c r="I207" s="18">
        <f>194.61</f>
        <v>194.61</v>
      </c>
      <c r="J207" s="18"/>
      <c r="K207" s="18">
        <f>266.68</f>
        <v>266.68</v>
      </c>
      <c r="L207" s="19">
        <f t="shared" si="0"/>
        <v>467.32000000000005</v>
      </c>
      <c r="M207" s="8"/>
      <c r="N207" s="266"/>
    </row>
    <row r="208" spans="1:14" s="3" customFormat="1" ht="12.2" customHeight="1" x14ac:dyDescent="0.15">
      <c r="A208" s="1" t="s">
        <v>447</v>
      </c>
      <c r="B208" s="2" t="s">
        <v>341</v>
      </c>
      <c r="C208" s="2" t="s">
        <v>299</v>
      </c>
      <c r="D208" s="2" t="s">
        <v>431</v>
      </c>
      <c r="E208" s="6">
        <v>2600</v>
      </c>
      <c r="F208" s="18">
        <f>268119.33+119510.63</f>
        <v>387629.96</v>
      </c>
      <c r="G208" s="18">
        <f>220967.46</f>
        <v>220967.46</v>
      </c>
      <c r="H208" s="18">
        <f>175606.72+154774.91</f>
        <v>330381.63</v>
      </c>
      <c r="I208" s="18">
        <f>222231.26+40677.66</f>
        <v>262908.92000000004</v>
      </c>
      <c r="J208" s="18">
        <f>13857.68</f>
        <v>13857.68</v>
      </c>
      <c r="K208" s="18"/>
      <c r="L208" s="19">
        <f t="shared" si="0"/>
        <v>1215745.6500000001</v>
      </c>
      <c r="M208" s="8"/>
      <c r="N208" s="266"/>
    </row>
    <row r="209" spans="1:14" s="3" customFormat="1" ht="12.2" customHeight="1" x14ac:dyDescent="0.15">
      <c r="A209" s="1" t="s">
        <v>448</v>
      </c>
      <c r="B209" s="2" t="s">
        <v>341</v>
      </c>
      <c r="C209" s="2" t="s">
        <v>300</v>
      </c>
      <c r="D209" s="2" t="s">
        <v>431</v>
      </c>
      <c r="E209" s="6">
        <v>2700</v>
      </c>
      <c r="F209" s="18"/>
      <c r="G209" s="18"/>
      <c r="H209" s="18">
        <f>158974.15+448004.82</f>
        <v>606978.97</v>
      </c>
      <c r="I209" s="18"/>
      <c r="J209" s="18"/>
      <c r="K209" s="18"/>
      <c r="L209" s="19">
        <f t="shared" si="0"/>
        <v>606978.97</v>
      </c>
      <c r="M209" s="8"/>
      <c r="N209" s="266"/>
    </row>
    <row r="210" spans="1:14" s="3" customFormat="1" ht="12.2" customHeight="1" x14ac:dyDescent="0.15">
      <c r="A210" s="1" t="s">
        <v>449</v>
      </c>
      <c r="B210" s="2" t="s">
        <v>341</v>
      </c>
      <c r="C210" s="2" t="s">
        <v>343</v>
      </c>
      <c r="D210" s="2" t="s">
        <v>431</v>
      </c>
      <c r="E210" s="6">
        <v>2800</v>
      </c>
      <c r="F210" s="18">
        <f>315794.95</f>
        <v>315794.95</v>
      </c>
      <c r="G210" s="18">
        <f>49587.19</f>
        <v>49587.19</v>
      </c>
      <c r="H210" s="18">
        <f>107186.62</f>
        <v>107186.62</v>
      </c>
      <c r="I210" s="18">
        <f>1301.86</f>
        <v>1301.8599999999999</v>
      </c>
      <c r="J210" s="18">
        <f>16762.61</f>
        <v>16762.61</v>
      </c>
      <c r="K210" s="18"/>
      <c r="L210" s="19">
        <f>SUM(F210:K210)</f>
        <v>490633.23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8986944.0399999991</v>
      </c>
      <c r="G212" s="41">
        <f t="shared" si="1"/>
        <v>4349753.07</v>
      </c>
      <c r="H212" s="41">
        <f t="shared" si="1"/>
        <v>1583084.65</v>
      </c>
      <c r="I212" s="41">
        <f t="shared" si="1"/>
        <v>448030.4</v>
      </c>
      <c r="J212" s="41">
        <f t="shared" si="1"/>
        <v>56145.42</v>
      </c>
      <c r="K212" s="41">
        <f t="shared" si="1"/>
        <v>9728.82</v>
      </c>
      <c r="L212" s="41">
        <f t="shared" si="1"/>
        <v>15433686.400000004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2440670.99</f>
        <v>2440670.9900000002</v>
      </c>
      <c r="G216" s="18">
        <f>1570879.52+0.01</f>
        <v>1570879.53</v>
      </c>
      <c r="H216" s="18">
        <f>2135.4</f>
        <v>2135.4</v>
      </c>
      <c r="I216" s="18">
        <f>53485.45</f>
        <v>53485.45</v>
      </c>
      <c r="J216" s="18">
        <f>41902.62</f>
        <v>41902.620000000003</v>
      </c>
      <c r="K216" s="18">
        <f>1013</f>
        <v>1013</v>
      </c>
      <c r="L216" s="19">
        <f>SUM(F216:K216)</f>
        <v>4110086.9900000007</v>
      </c>
      <c r="M216" s="8"/>
      <c r="N216" s="266"/>
    </row>
    <row r="217" spans="1:14" s="3" customFormat="1" ht="12.2" customHeight="1" x14ac:dyDescent="0.15">
      <c r="A217" s="1" t="s">
        <v>439</v>
      </c>
      <c r="B217" s="2" t="s">
        <v>346</v>
      </c>
      <c r="C217" s="2" t="s">
        <v>291</v>
      </c>
      <c r="D217" s="2" t="s">
        <v>431</v>
      </c>
      <c r="E217" s="6">
        <v>1200</v>
      </c>
      <c r="F217" s="18">
        <f>724442.43+107536.63</f>
        <v>831979.06</v>
      </c>
      <c r="G217" s="18">
        <f>560134.94</f>
        <v>560134.93999999994</v>
      </c>
      <c r="H217" s="18">
        <f>11179.93+14182.51</f>
        <v>25362.440000000002</v>
      </c>
      <c r="I217" s="18">
        <f>8919.42+604.13</f>
        <v>9523.5499999999993</v>
      </c>
      <c r="J217" s="18"/>
      <c r="K217" s="18"/>
      <c r="L217" s="19">
        <f>SUM(F217:K217)</f>
        <v>1426999.99</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42399.03</f>
        <v>42399.03</v>
      </c>
      <c r="G219" s="18">
        <f>5491.52</f>
        <v>5491.52</v>
      </c>
      <c r="H219" s="18">
        <f>10089</f>
        <v>10089</v>
      </c>
      <c r="I219" s="18">
        <f>5323</f>
        <v>5323</v>
      </c>
      <c r="J219" s="18">
        <f>2910.21</f>
        <v>2910.21</v>
      </c>
      <c r="K219" s="18">
        <f>2715</f>
        <v>2715</v>
      </c>
      <c r="L219" s="19">
        <f>SUM(F219:K219)</f>
        <v>68927.760000000009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299719.3+126943.51</f>
        <v>426662.81</v>
      </c>
      <c r="G221" s="18">
        <f>219355.68</f>
        <v>219355.68</v>
      </c>
      <c r="H221" s="18">
        <f>6981.75+30914.49</f>
        <v>37896.240000000005</v>
      </c>
      <c r="I221" s="18">
        <f>1906.85+2274.71</f>
        <v>4181.5599999999995</v>
      </c>
      <c r="J221" s="18">
        <f>884.05+248.81</f>
        <v>1132.8599999999999</v>
      </c>
      <c r="K221" s="18"/>
      <c r="L221" s="19">
        <f t="shared" ref="L221:L227" si="2">SUM(F221:K221)</f>
        <v>689229.15</v>
      </c>
      <c r="M221" s="8"/>
      <c r="N221" s="266"/>
    </row>
    <row r="222" spans="1:14" s="3" customFormat="1" ht="12.2" customHeight="1" x14ac:dyDescent="0.15">
      <c r="A222" s="1" t="s">
        <v>443</v>
      </c>
      <c r="B222" s="2" t="s">
        <v>346</v>
      </c>
      <c r="C222" s="2" t="s">
        <v>295</v>
      </c>
      <c r="D222" s="2" t="s">
        <v>431</v>
      </c>
      <c r="E222" s="6">
        <v>2200</v>
      </c>
      <c r="F222" s="18">
        <f>117184.42+7943</f>
        <v>125127.42</v>
      </c>
      <c r="G222" s="18">
        <f>48203.33</f>
        <v>48203.33</v>
      </c>
      <c r="H222" s="18">
        <f>1364+27878.18</f>
        <v>29242.18</v>
      </c>
      <c r="I222" s="18">
        <f>4470.48+14284.37</f>
        <v>18754.849999999999</v>
      </c>
      <c r="J222" s="18"/>
      <c r="K222" s="18"/>
      <c r="L222" s="19">
        <f t="shared" si="2"/>
        <v>221327.78</v>
      </c>
      <c r="M222" s="8"/>
      <c r="N222" s="266"/>
    </row>
    <row r="223" spans="1:14" s="3" customFormat="1" ht="12.2" customHeight="1" x14ac:dyDescent="0.15">
      <c r="A223" s="1" t="s">
        <v>444</v>
      </c>
      <c r="B223" s="2" t="s">
        <v>346</v>
      </c>
      <c r="C223" s="2" t="s">
        <v>296</v>
      </c>
      <c r="D223" s="2" t="s">
        <v>431</v>
      </c>
      <c r="E223" s="6">
        <v>2300</v>
      </c>
      <c r="F223" s="18">
        <f>84453+327593.01</f>
        <v>412046.01</v>
      </c>
      <c r="G223" s="18">
        <v>210203.14</v>
      </c>
      <c r="H223" s="18">
        <f>83677.29</f>
        <v>83677.289999999994</v>
      </c>
      <c r="I223" s="18">
        <f>6380.02</f>
        <v>6380.02</v>
      </c>
      <c r="J223" s="18">
        <f>793.43</f>
        <v>793.43</v>
      </c>
      <c r="K223" s="18">
        <f>2941.66+1665.68</f>
        <v>4607.34</v>
      </c>
      <c r="L223" s="19">
        <f t="shared" si="2"/>
        <v>717707.2300000001</v>
      </c>
      <c r="M223" s="8"/>
      <c r="N223" s="266"/>
    </row>
    <row r="224" spans="1:14" s="3" customFormat="1" ht="12.2" customHeight="1" x14ac:dyDescent="0.15">
      <c r="A224" s="1" t="s">
        <v>445</v>
      </c>
      <c r="B224" s="2" t="s">
        <v>346</v>
      </c>
      <c r="C224" s="2" t="s">
        <v>297</v>
      </c>
      <c r="D224" s="2" t="s">
        <v>431</v>
      </c>
      <c r="E224" s="6">
        <v>2400</v>
      </c>
      <c r="F224" s="18">
        <f>345280.47</f>
        <v>345280.47</v>
      </c>
      <c r="G224" s="18">
        <f>241016.67</f>
        <v>241016.67</v>
      </c>
      <c r="H224" s="18">
        <f>1098.73</f>
        <v>1098.73</v>
      </c>
      <c r="I224" s="18">
        <f>759.76</f>
        <v>759.76</v>
      </c>
      <c r="J224" s="18">
        <f>227.94</f>
        <v>227.94</v>
      </c>
      <c r="K224" s="18">
        <f>2601.93</f>
        <v>2601.9299999999998</v>
      </c>
      <c r="L224" s="19">
        <f t="shared" si="2"/>
        <v>590985.5</v>
      </c>
      <c r="M224" s="8"/>
      <c r="N224" s="266"/>
    </row>
    <row r="225" spans="1:14" s="3" customFormat="1" ht="12.2" customHeight="1" x14ac:dyDescent="0.15">
      <c r="A225" s="1" t="s">
        <v>446</v>
      </c>
      <c r="B225" s="2" t="s">
        <v>346</v>
      </c>
      <c r="C225" s="2" t="s">
        <v>298</v>
      </c>
      <c r="D225" s="2" t="s">
        <v>431</v>
      </c>
      <c r="E225" s="6">
        <v>2500</v>
      </c>
      <c r="F225" s="18"/>
      <c r="G225" s="18"/>
      <c r="H225" s="18">
        <f>4.33</f>
        <v>4.33</v>
      </c>
      <c r="I225" s="18">
        <f>139.72</f>
        <v>139.72</v>
      </c>
      <c r="J225" s="18"/>
      <c r="K225" s="18">
        <f>191.46</f>
        <v>191.46</v>
      </c>
      <c r="L225" s="19">
        <f t="shared" si="2"/>
        <v>335.51</v>
      </c>
      <c r="M225" s="8"/>
      <c r="N225" s="266"/>
    </row>
    <row r="226" spans="1:14" s="3" customFormat="1" ht="12.2" customHeight="1" x14ac:dyDescent="0.15">
      <c r="A226" s="1" t="s">
        <v>447</v>
      </c>
      <c r="B226" s="2" t="s">
        <v>346</v>
      </c>
      <c r="C226" s="2" t="s">
        <v>299</v>
      </c>
      <c r="D226" s="2" t="s">
        <v>431</v>
      </c>
      <c r="E226" s="6">
        <v>2600</v>
      </c>
      <c r="F226" s="18">
        <f>159632.35+68291.79</f>
        <v>227924.14</v>
      </c>
      <c r="G226" s="18">
        <f>142474.41</f>
        <v>142474.41</v>
      </c>
      <c r="H226" s="18">
        <f>46529.12+94325.39</f>
        <v>140854.51</v>
      </c>
      <c r="I226" s="18">
        <f>108524.07+23244.37</f>
        <v>131768.44</v>
      </c>
      <c r="J226" s="18">
        <f>7918.68</f>
        <v>7918.68</v>
      </c>
      <c r="K226" s="18"/>
      <c r="L226" s="19">
        <f t="shared" si="2"/>
        <v>650940.18000000005</v>
      </c>
      <c r="M226" s="8"/>
      <c r="N226" s="266"/>
    </row>
    <row r="227" spans="1:14" s="3" customFormat="1" ht="12.2" customHeight="1" x14ac:dyDescent="0.15">
      <c r="A227" s="1" t="s">
        <v>448</v>
      </c>
      <c r="B227" s="2" t="s">
        <v>346</v>
      </c>
      <c r="C227" s="2" t="s">
        <v>300</v>
      </c>
      <c r="D227" s="2" t="s">
        <v>431</v>
      </c>
      <c r="E227" s="6">
        <v>2700</v>
      </c>
      <c r="F227" s="18"/>
      <c r="G227" s="18"/>
      <c r="H227" s="18">
        <f>71613.47+264002.84</f>
        <v>335616.31000000006</v>
      </c>
      <c r="I227" s="18"/>
      <c r="J227" s="18"/>
      <c r="K227" s="18"/>
      <c r="L227" s="19">
        <f t="shared" si="2"/>
        <v>335616.31000000006</v>
      </c>
      <c r="M227" s="8"/>
      <c r="N227" s="266"/>
    </row>
    <row r="228" spans="1:14" s="3" customFormat="1" ht="12.2" customHeight="1" x14ac:dyDescent="0.15">
      <c r="A228" s="1" t="s">
        <v>449</v>
      </c>
      <c r="B228" s="2" t="s">
        <v>346</v>
      </c>
      <c r="C228" s="2" t="s">
        <v>343</v>
      </c>
      <c r="D228" s="2" t="s">
        <v>431</v>
      </c>
      <c r="E228" s="6">
        <v>2800</v>
      </c>
      <c r="F228" s="18">
        <f>209909.28</f>
        <v>209909.28</v>
      </c>
      <c r="G228" s="18">
        <f>53084.68</f>
        <v>53084.68</v>
      </c>
      <c r="H228" s="18">
        <f>76954.49</f>
        <v>76954.490000000005</v>
      </c>
      <c r="I228" s="18">
        <f>934.67</f>
        <v>934.67</v>
      </c>
      <c r="J228" s="18">
        <f>12034.69</f>
        <v>12034.69</v>
      </c>
      <c r="K228" s="18"/>
      <c r="L228" s="19">
        <f>SUM(F228:K228)</f>
        <v>352917.81</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5061999.21</v>
      </c>
      <c r="G230" s="41">
        <f>SUM(G216:G229)</f>
        <v>3050843.9000000004</v>
      </c>
      <c r="H230" s="41">
        <f>SUM(H216:H229)</f>
        <v>742930.92</v>
      </c>
      <c r="I230" s="41">
        <f>SUM(I216:I229)</f>
        <v>231251.02000000002</v>
      </c>
      <c r="J230" s="41">
        <f>SUM(J216:J229)</f>
        <v>66920.430000000008</v>
      </c>
      <c r="K230" s="41">
        <f t="shared" si="3"/>
        <v>11128.73</v>
      </c>
      <c r="L230" s="41">
        <f t="shared" si="3"/>
        <v>9165074.2100000028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3329050.44</f>
        <v>3329050.44</v>
      </c>
      <c r="G234" s="18">
        <f>2176047.21+2540.35</f>
        <v>2178587.56</v>
      </c>
      <c r="H234" s="18">
        <f>6430.39</f>
        <v>6430.39</v>
      </c>
      <c r="I234" s="18">
        <f>75459.87</f>
        <v>75459.87</v>
      </c>
      <c r="J234" s="18">
        <f>89347.9</f>
        <v>89347.9</v>
      </c>
      <c r="K234" s="18">
        <f>2984.24</f>
        <v>2984.24</v>
      </c>
      <c r="L234" s="19">
        <f>SUM(F234:K234)</f>
        <v>5681860.4000000004</v>
      </c>
      <c r="M234" s="8"/>
      <c r="N234" s="266"/>
    </row>
    <row r="235" spans="1:14" s="3" customFormat="1" ht="12.2" customHeight="1" x14ac:dyDescent="0.15">
      <c r="A235" s="1" t="s">
        <v>439</v>
      </c>
      <c r="B235" s="2" t="s">
        <v>350</v>
      </c>
      <c r="C235" s="2" t="s">
        <v>291</v>
      </c>
      <c r="D235" s="2" t="s">
        <v>431</v>
      </c>
      <c r="E235" s="6">
        <v>1200</v>
      </c>
      <c r="F235" s="18">
        <f>667264.75+267709.15</f>
        <v>934973.9</v>
      </c>
      <c r="G235" s="18">
        <f>546979.74</f>
        <v>546979.74</v>
      </c>
      <c r="H235" s="18">
        <f>670335.1+12715.35</f>
        <v>683050.45</v>
      </c>
      <c r="I235" s="18">
        <f>3011.61+2680.81</f>
        <v>5692.42</v>
      </c>
      <c r="J235" s="18"/>
      <c r="K235" s="18"/>
      <c r="L235" s="19">
        <f>SUM(F235:K235)</f>
        <v>2170696.5099999998</v>
      </c>
      <c r="M235" s="8"/>
      <c r="N235" s="266"/>
    </row>
    <row r="236" spans="1:14" s="3" customFormat="1" ht="12.2" customHeight="1" x14ac:dyDescent="0.15">
      <c r="A236" s="1" t="s">
        <v>440</v>
      </c>
      <c r="B236" s="2" t="s">
        <v>350</v>
      </c>
      <c r="C236" s="2" t="s">
        <v>292</v>
      </c>
      <c r="D236" s="2" t="s">
        <v>431</v>
      </c>
      <c r="E236" s="6">
        <v>1300</v>
      </c>
      <c r="F236" s="18">
        <f>791744</f>
        <v>791744</v>
      </c>
      <c r="G236" s="18">
        <f>414192.05</f>
        <v>414192.05</v>
      </c>
      <c r="H236" s="18">
        <f>19358.69+6663.44</f>
        <v>26022.129999999997</v>
      </c>
      <c r="I236" s="18">
        <f>43413.02</f>
        <v>43413.02</v>
      </c>
      <c r="J236" s="18">
        <f>25142.72</f>
        <v>25142.720000000001</v>
      </c>
      <c r="K236" s="18">
        <f>1586</f>
        <v>1586</v>
      </c>
      <c r="L236" s="19">
        <f>SUM(F236:K236)</f>
        <v>1302099.92</v>
      </c>
      <c r="M236" s="8"/>
      <c r="N236" s="266"/>
    </row>
    <row r="237" spans="1:14" s="3" customFormat="1" ht="12.2" customHeight="1" x14ac:dyDescent="0.15">
      <c r="A237" s="1" t="s">
        <v>441</v>
      </c>
      <c r="B237" s="2" t="s">
        <v>350</v>
      </c>
      <c r="C237" s="2" t="s">
        <v>293</v>
      </c>
      <c r="D237" s="2" t="s">
        <v>431</v>
      </c>
      <c r="E237" s="6">
        <v>1400</v>
      </c>
      <c r="F237" s="18">
        <f>141017</f>
        <v>141017</v>
      </c>
      <c r="G237" s="18">
        <f>14509.91</f>
        <v>14509.91</v>
      </c>
      <c r="H237" s="18">
        <f>39018.95</f>
        <v>39018.949999999997</v>
      </c>
      <c r="I237" s="18">
        <f>20633.98</f>
        <v>20633.98</v>
      </c>
      <c r="J237" s="18">
        <f>3344.67</f>
        <v>3344.67</v>
      </c>
      <c r="K237" s="18">
        <f>23329.5</f>
        <v>23329.5</v>
      </c>
      <c r="L237" s="19">
        <f>SUM(F237:K237)</f>
        <v>241854.01</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546095.13+123744.61</f>
        <v>669839.74</v>
      </c>
      <c r="G239" s="18">
        <f>364946.29</f>
        <v>364946.29</v>
      </c>
      <c r="H239" s="18">
        <f>11356.02+27242.34</f>
        <v>38598.36</v>
      </c>
      <c r="I239" s="18">
        <f>11624.77+4915.86</f>
        <v>16540.63</v>
      </c>
      <c r="J239" s="18">
        <f>489.98+284.36</f>
        <v>774.34</v>
      </c>
      <c r="K239" s="18">
        <f>794</f>
        <v>794</v>
      </c>
      <c r="L239" s="19">
        <f t="shared" ref="L239:L245" si="4">SUM(F239:K239)</f>
        <v>1091493.3600000001</v>
      </c>
      <c r="M239" s="8"/>
      <c r="N239" s="266"/>
    </row>
    <row r="240" spans="1:14" s="3" customFormat="1" ht="12.2" customHeight="1" x14ac:dyDescent="0.15">
      <c r="A240" s="1" t="s">
        <v>443</v>
      </c>
      <c r="B240" s="2" t="s">
        <v>350</v>
      </c>
      <c r="C240" s="2" t="s">
        <v>295</v>
      </c>
      <c r="D240" s="2" t="s">
        <v>431</v>
      </c>
      <c r="E240" s="6">
        <v>2200</v>
      </c>
      <c r="F240" s="18">
        <f>109343.26+9361.39</f>
        <v>118704.65</v>
      </c>
      <c r="G240" s="18">
        <f>56720.57</f>
        <v>56720.57</v>
      </c>
      <c r="H240" s="18">
        <f>5663.67+32856.43</f>
        <v>38520.1</v>
      </c>
      <c r="I240" s="18">
        <f>22475.92+16835.15</f>
        <v>39311.07</v>
      </c>
      <c r="J240" s="18">
        <f>2483.67</f>
        <v>2483.67</v>
      </c>
      <c r="K240" s="18"/>
      <c r="L240" s="19">
        <f t="shared" si="4"/>
        <v>255740.06000000003</v>
      </c>
      <c r="M240" s="8"/>
      <c r="N240" s="266"/>
    </row>
    <row r="241" spans="1:14" s="3" customFormat="1" ht="12.2" customHeight="1" x14ac:dyDescent="0.15">
      <c r="A241" s="1" t="s">
        <v>444</v>
      </c>
      <c r="B241" s="2" t="s">
        <v>350</v>
      </c>
      <c r="C241" s="2" t="s">
        <v>296</v>
      </c>
      <c r="D241" s="2" t="s">
        <v>431</v>
      </c>
      <c r="E241" s="6">
        <v>2300</v>
      </c>
      <c r="F241" s="18">
        <f>462308.15</f>
        <v>462308.15</v>
      </c>
      <c r="G241" s="18">
        <f>326253.19</f>
        <v>326253.19</v>
      </c>
      <c r="H241" s="18">
        <f>98350.57</f>
        <v>98350.57</v>
      </c>
      <c r="I241" s="18">
        <f>7268.69</f>
        <v>7268.69</v>
      </c>
      <c r="J241" s="18">
        <f>935.11</f>
        <v>935.11</v>
      </c>
      <c r="K241" s="18">
        <f>3338.64+1963.12</f>
        <v>5301.76</v>
      </c>
      <c r="L241" s="19">
        <f t="shared" si="4"/>
        <v>900417.47000000009</v>
      </c>
      <c r="M241" s="8"/>
      <c r="N241" s="266"/>
    </row>
    <row r="242" spans="1:14" s="3" customFormat="1" ht="12.2" customHeight="1" x14ac:dyDescent="0.15">
      <c r="A242" s="1" t="s">
        <v>445</v>
      </c>
      <c r="B242" s="2" t="s">
        <v>350</v>
      </c>
      <c r="C242" s="2" t="s">
        <v>297</v>
      </c>
      <c r="D242" s="2" t="s">
        <v>431</v>
      </c>
      <c r="E242" s="6">
        <v>2400</v>
      </c>
      <c r="F242" s="18">
        <f>453124.46</f>
        <v>453124.46</v>
      </c>
      <c r="G242" s="18">
        <f>267334.15</f>
        <v>267334.15000000002</v>
      </c>
      <c r="H242" s="18">
        <f>6839.33</f>
        <v>6839.33</v>
      </c>
      <c r="I242" s="18">
        <f>4102.44</f>
        <v>4102.4399999999996</v>
      </c>
      <c r="J242" s="18"/>
      <c r="K242" s="18">
        <f>22076.28</f>
        <v>22076.28</v>
      </c>
      <c r="L242" s="19">
        <f t="shared" si="4"/>
        <v>753476.66</v>
      </c>
      <c r="M242" s="8"/>
      <c r="N242" s="266"/>
    </row>
    <row r="243" spans="1:14" s="3" customFormat="1" ht="12.2" customHeight="1" x14ac:dyDescent="0.15">
      <c r="A243" s="1" t="s">
        <v>446</v>
      </c>
      <c r="B243" s="2" t="s">
        <v>350</v>
      </c>
      <c r="C243" s="2" t="s">
        <v>298</v>
      </c>
      <c r="D243" s="2" t="s">
        <v>431</v>
      </c>
      <c r="E243" s="6">
        <v>2500</v>
      </c>
      <c r="F243" s="18"/>
      <c r="G243" s="18"/>
      <c r="H243" s="18">
        <f>5.11</f>
        <v>5.1100000000000003</v>
      </c>
      <c r="I243" s="18">
        <f>164.67</f>
        <v>164.67</v>
      </c>
      <c r="J243" s="18"/>
      <c r="K243" s="18">
        <f>225.65</f>
        <v>225.65</v>
      </c>
      <c r="L243" s="19">
        <f t="shared" si="4"/>
        <v>395.43</v>
      </c>
      <c r="M243" s="8"/>
      <c r="N243" s="266"/>
    </row>
    <row r="244" spans="1:14" s="3" customFormat="1" ht="12.2" customHeight="1" x14ac:dyDescent="0.15">
      <c r="A244" s="1" t="s">
        <v>447</v>
      </c>
      <c r="B244" s="2" t="s">
        <v>350</v>
      </c>
      <c r="C244" s="2" t="s">
        <v>299</v>
      </c>
      <c r="D244" s="2" t="s">
        <v>431</v>
      </c>
      <c r="E244" s="6">
        <v>2600</v>
      </c>
      <c r="F244" s="18">
        <f>198775.9+96746.7</f>
        <v>295522.59999999998</v>
      </c>
      <c r="G244" s="18">
        <f>193905.2</f>
        <v>193905.2</v>
      </c>
      <c r="H244" s="18">
        <f>94389.26+126764.62</f>
        <v>221153.88</v>
      </c>
      <c r="I244" s="18">
        <f>221218.91+32929.53+6479.5</f>
        <v>260627.94</v>
      </c>
      <c r="J244" s="18">
        <f>11218.12</f>
        <v>11218.12</v>
      </c>
      <c r="K244" s="18"/>
      <c r="L244" s="19">
        <f t="shared" si="4"/>
        <v>982427.73999999987</v>
      </c>
      <c r="M244" s="8"/>
      <c r="N244" s="266"/>
    </row>
    <row r="245" spans="1:14" s="3" customFormat="1" ht="12.2" customHeight="1" x14ac:dyDescent="0.15">
      <c r="A245" s="1" t="s">
        <v>448</v>
      </c>
      <c r="B245" s="2" t="s">
        <v>350</v>
      </c>
      <c r="C245" s="2" t="s">
        <v>300</v>
      </c>
      <c r="D245" s="2" t="s">
        <v>431</v>
      </c>
      <c r="E245" s="6">
        <v>2700</v>
      </c>
      <c r="F245" s="18"/>
      <c r="G245" s="18"/>
      <c r="H245" s="18">
        <f>186609.21+88000.95</f>
        <v>274610.15999999997</v>
      </c>
      <c r="I245" s="18"/>
      <c r="J245" s="18"/>
      <c r="K245" s="18"/>
      <c r="L245" s="19">
        <f t="shared" si="4"/>
        <v>274610.15999999997</v>
      </c>
      <c r="M245" s="8"/>
      <c r="N245" s="266"/>
    </row>
    <row r="246" spans="1:14" s="3" customFormat="1" ht="12.2" customHeight="1" x14ac:dyDescent="0.15">
      <c r="A246" s="1" t="s">
        <v>449</v>
      </c>
      <c r="B246" s="2" t="s">
        <v>350</v>
      </c>
      <c r="C246" s="2" t="s">
        <v>343</v>
      </c>
      <c r="D246" s="2" t="s">
        <v>431</v>
      </c>
      <c r="E246" s="6">
        <v>2800</v>
      </c>
      <c r="F246" s="18">
        <f>242595.51</f>
        <v>242595.51</v>
      </c>
      <c r="G246" s="18">
        <f>36054.93</f>
        <v>36054.93</v>
      </c>
      <c r="H246" s="18">
        <f>90696.37</f>
        <v>90696.37</v>
      </c>
      <c r="I246" s="18">
        <f>1101.58</f>
        <v>1101.58</v>
      </c>
      <c r="J246" s="18">
        <f>14183.74</f>
        <v>14183.74</v>
      </c>
      <c r="K246" s="18"/>
      <c r="L246" s="19">
        <f>SUM(F246:K246)</f>
        <v>384632.13</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7438880.4500000002</v>
      </c>
      <c r="G248" s="41">
        <f t="shared" si="5"/>
        <v>4399483.5899999989</v>
      </c>
      <c r="H248" s="41">
        <f t="shared" si="5"/>
        <v>1523295.7999999998</v>
      </c>
      <c r="I248" s="41">
        <f t="shared" si="5"/>
        <v>474316.31000000006</v>
      </c>
      <c r="J248" s="41">
        <f t="shared" si="5"/>
        <v>147430.26999999999</v>
      </c>
      <c r="K248" s="41">
        <f t="shared" si="5"/>
        <v>56297.43</v>
      </c>
      <c r="L248" s="41">
        <f t="shared" si="5"/>
        <v>14039703.850000001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21487823.699999999</v>
      </c>
      <c r="G258" s="41">
        <f t="shared" si="8"/>
        <v>11800080.559999999</v>
      </c>
      <c r="H258" s="41">
        <f t="shared" si="8"/>
        <v>3849311.3699999996</v>
      </c>
      <c r="I258" s="41">
        <f t="shared" si="8"/>
        <v>1153597.73</v>
      </c>
      <c r="J258" s="41">
        <f t="shared" si="8"/>
        <v>270496.12</v>
      </c>
      <c r="K258" s="41">
        <f t="shared" si="8"/>
        <v>77154.98</v>
      </c>
      <c r="L258" s="41">
        <f t="shared" si="8"/>
        <v>38638464.460000008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1168349.5900000001</v>
      </c>
      <c r="L261" s="19">
        <f>SUM(F261:K261)</f>
        <v>1168349.5900000001</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252735.4</v>
      </c>
      <c r="L262" s="19">
        <f>SUM(F262:K262)</f>
        <v>252735.4</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5810</v>
      </c>
      <c r="L264" s="19">
        <f>SUM(F264:K264)</f>
        <v>5810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1426894.99</v>
      </c>
      <c r="L271" s="41">
        <f t="shared" si="9"/>
        <v>1426894.99</v>
      </c>
      <c r="M271" s="8"/>
      <c r="N271" s="266"/>
    </row>
    <row r="272" spans="1:14" s="34" customFormat="1" ht="12.2" customHeight="1" thickTop="1" x14ac:dyDescent="0.2">
      <c r="A272" s="43" t="s">
        <v>464</v>
      </c>
      <c r="B272" s="40">
        <v>10</v>
      </c>
      <c r="C272" s="40">
        <v>18</v>
      </c>
      <c r="D272" s="39" t="s">
        <v>431</v>
      </c>
      <c r="E272" s="40"/>
      <c r="F272" s="42">
        <f t="shared" ref="F272:L272" si="11">F258+F271</f>
        <v>21487823.699999999</v>
      </c>
      <c r="G272" s="42">
        <f t="shared" si="11"/>
        <v>11800080.559999999</v>
      </c>
      <c r="H272" s="42">
        <f t="shared" si="11"/>
        <v>3849311.3699999996</v>
      </c>
      <c r="I272" s="42">
        <f t="shared" si="11"/>
        <v>1153597.73</v>
      </c>
      <c r="J272" s="42">
        <f t="shared" si="11"/>
        <v>270496.12</v>
      </c>
      <c r="K272" s="42">
        <f t="shared" si="11"/>
        <v>1504049.97</v>
      </c>
      <c r="L272" s="42">
        <f t="shared" si="11"/>
        <v>40065359.45000001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141084.85</f>
        <v>141084.85</v>
      </c>
      <c r="G277" s="18">
        <f>12076.82</f>
        <v>12076.82</v>
      </c>
      <c r="H277" s="18"/>
      <c r="I277" s="18">
        <f>1539.05</f>
        <v>1539.05</v>
      </c>
      <c r="J277" s="18"/>
      <c r="K277" s="18"/>
      <c r="L277" s="19">
        <f>SUM(F277:K277)</f>
        <v>154700.72</v>
      </c>
      <c r="M277" s="8"/>
      <c r="N277" s="266"/>
    </row>
    <row r="278" spans="1:14" s="3" customFormat="1" ht="12.2" customHeight="1" x14ac:dyDescent="0.15">
      <c r="A278" s="1" t="s">
        <v>439</v>
      </c>
      <c r="B278" s="2" t="s">
        <v>357</v>
      </c>
      <c r="C278" s="2" t="s">
        <v>291</v>
      </c>
      <c r="D278" s="2" t="s">
        <v>431</v>
      </c>
      <c r="E278" s="6">
        <v>1200</v>
      </c>
      <c r="F278" s="18">
        <f>132559.33</f>
        <v>132559.32999999999</v>
      </c>
      <c r="G278" s="18">
        <f>60376.52</f>
        <v>60376.52</v>
      </c>
      <c r="H278" s="18">
        <f>32072.32</f>
        <v>32072.32</v>
      </c>
      <c r="I278" s="18">
        <f>12365.76</f>
        <v>12365.76</v>
      </c>
      <c r="J278" s="18"/>
      <c r="K278" s="18"/>
      <c r="L278" s="19">
        <f>SUM(F278:K278)</f>
        <v>237373.93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13195</f>
        <v>13195</v>
      </c>
      <c r="G280" s="18">
        <f>2160.05</f>
        <v>2160.0500000000002</v>
      </c>
      <c r="H280" s="18"/>
      <c r="I280" s="18">
        <f>13497.99</f>
        <v>13497.99</v>
      </c>
      <c r="J280" s="18"/>
      <c r="K280" s="18"/>
      <c r="L280" s="19">
        <f>SUM(F280:K280)</f>
        <v>28853.040000000001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3390.91+343.03</f>
        <v>3733.9399999999996</v>
      </c>
      <c r="G282" s="18">
        <f>470.29+26.24</f>
        <v>496.53000000000003</v>
      </c>
      <c r="H282" s="18">
        <f>30+1543.25+2273.76</f>
        <v>3847.01</v>
      </c>
      <c r="I282" s="18">
        <f>1284.19+225.99</f>
        <v>1510.18</v>
      </c>
      <c r="J282" s="18">
        <f>360.98+945.75</f>
        <v>1306.73</v>
      </c>
      <c r="K282" s="18"/>
      <c r="L282" s="19">
        <f t="shared" ref="L282:L288" si="12">SUM(F282:K282)</f>
        <v>10894.39</v>
      </c>
      <c r="M282" s="8"/>
      <c r="N282" s="266"/>
    </row>
    <row r="283" spans="1:14" s="3" customFormat="1" ht="12.2" customHeight="1" x14ac:dyDescent="0.15">
      <c r="A283" s="1" t="s">
        <v>443</v>
      </c>
      <c r="B283" s="2" t="s">
        <v>357</v>
      </c>
      <c r="C283" s="2" t="s">
        <v>295</v>
      </c>
      <c r="D283" s="2" t="s">
        <v>431</v>
      </c>
      <c r="E283" s="6">
        <v>2200</v>
      </c>
      <c r="F283" s="18">
        <f>13573.8</f>
        <v>13573.8</v>
      </c>
      <c r="G283" s="18">
        <f>3282.24</f>
        <v>3282.24</v>
      </c>
      <c r="H283" s="18">
        <f>31149.99+25213.75</f>
        <v>56363.740000000005</v>
      </c>
      <c r="I283" s="18">
        <f>3250+955.59</f>
        <v>4205.59</v>
      </c>
      <c r="J283" s="18">
        <f>370.52</f>
        <v>370.52</v>
      </c>
      <c r="K283" s="18"/>
      <c r="L283" s="19">
        <f t="shared" si="12"/>
        <v>77795.89</v>
      </c>
      <c r="M283" s="8"/>
      <c r="N283" s="266"/>
    </row>
    <row r="284" spans="1:14" s="3" customFormat="1" ht="12.2" customHeight="1" x14ac:dyDescent="0.15">
      <c r="A284" s="1" t="s">
        <v>444</v>
      </c>
      <c r="B284" s="2" t="s">
        <v>357</v>
      </c>
      <c r="C284" s="2" t="s">
        <v>296</v>
      </c>
      <c r="D284" s="2" t="s">
        <v>431</v>
      </c>
      <c r="E284" s="6">
        <v>2300</v>
      </c>
      <c r="F284" s="18">
        <f>89181.94</f>
        <v>89181.94</v>
      </c>
      <c r="G284" s="18">
        <f>21346.74</f>
        <v>21346.74</v>
      </c>
      <c r="H284" s="18">
        <f>99.99</f>
        <v>99.99</v>
      </c>
      <c r="I284" s="18"/>
      <c r="J284" s="18"/>
      <c r="K284" s="18">
        <f>13855.29</f>
        <v>13855.29</v>
      </c>
      <c r="L284" s="19">
        <f t="shared" si="12"/>
        <v>124483.96000000002</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f>2661.98</f>
        <v>2661.98</v>
      </c>
      <c r="J288" s="18">
        <f>-1351.72</f>
        <v>-1351.72</v>
      </c>
      <c r="K288" s="18">
        <f>330</f>
        <v>330</v>
      </c>
      <c r="L288" s="19">
        <f t="shared" si="12"/>
        <v>1640.26</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393328.86</v>
      </c>
      <c r="G291" s="42">
        <f t="shared" si="13"/>
        <v>99738.900000000009</v>
      </c>
      <c r="H291" s="42">
        <f t="shared" si="13"/>
        <v>92383.060000000012</v>
      </c>
      <c r="I291" s="42">
        <f t="shared" si="13"/>
        <v>35780.550000000003</v>
      </c>
      <c r="J291" s="42">
        <f t="shared" si="13"/>
        <v>325.52999999999997</v>
      </c>
      <c r="K291" s="42">
        <f t="shared" si="13"/>
        <v>14185.29</v>
      </c>
      <c r="L291" s="41">
        <f t="shared" si="13"/>
        <v>635742.19000000006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f>95170.8</f>
        <v>95170.8</v>
      </c>
      <c r="G297" s="18">
        <f>43347.25</f>
        <v>43347.25</v>
      </c>
      <c r="H297" s="18">
        <f>23026.28</f>
        <v>23026.28</v>
      </c>
      <c r="I297" s="18">
        <f>8877.98</f>
        <v>8877.98</v>
      </c>
      <c r="J297" s="18"/>
      <c r="K297" s="18"/>
      <c r="L297" s="19">
        <f>SUM(F297:K297)</f>
        <v>170422.31</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1191.77+246.28</f>
        <v>1438.05</v>
      </c>
      <c r="G301" s="18">
        <f>18.84</f>
        <v>18.84</v>
      </c>
      <c r="H301" s="18">
        <f>840+1632.44</f>
        <v>2472.44</v>
      </c>
      <c r="I301" s="18">
        <f>162.25</f>
        <v>162.25</v>
      </c>
      <c r="J301" s="18">
        <f>259.17+679</f>
        <v>938.17000000000007</v>
      </c>
      <c r="K301" s="18"/>
      <c r="L301" s="19">
        <f t="shared" ref="L301:L307" si="14">SUM(F301:K301)</f>
        <v>5029.75</v>
      </c>
      <c r="M301" s="8"/>
      <c r="N301" s="266"/>
    </row>
    <row r="302" spans="1:14" s="3" customFormat="1" ht="12.2" customHeight="1" x14ac:dyDescent="0.15">
      <c r="A302" s="1" t="s">
        <v>443</v>
      </c>
      <c r="B302" s="2" t="s">
        <v>358</v>
      </c>
      <c r="C302" s="2" t="s">
        <v>295</v>
      </c>
      <c r="D302" s="2" t="s">
        <v>431</v>
      </c>
      <c r="E302" s="6">
        <v>2200</v>
      </c>
      <c r="F302" s="18">
        <f>9745.29</f>
        <v>9745.2900000000009</v>
      </c>
      <c r="G302" s="18">
        <f>2356.48</f>
        <v>2356.48</v>
      </c>
      <c r="H302" s="18">
        <f>18102.18</f>
        <v>18102.18</v>
      </c>
      <c r="I302" s="18">
        <f>686.07</f>
        <v>686.07</v>
      </c>
      <c r="J302" s="18">
        <f>266.02</f>
        <v>266.02</v>
      </c>
      <c r="K302" s="18"/>
      <c r="L302" s="19">
        <f t="shared" si="14"/>
        <v>31156.04</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f>9947.39</f>
        <v>9947.39</v>
      </c>
      <c r="L303" s="19">
        <f t="shared" si="14"/>
        <v>9947.39</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f>1200</f>
        <v>1200</v>
      </c>
      <c r="G307" s="18"/>
      <c r="H307" s="18"/>
      <c r="I307" s="18">
        <f>2421</f>
        <v>2421</v>
      </c>
      <c r="J307" s="18"/>
      <c r="K307" s="18"/>
      <c r="L307" s="19">
        <f t="shared" si="14"/>
        <v>3621</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107554.14000000001</v>
      </c>
      <c r="G310" s="42">
        <f t="shared" si="15"/>
        <v>45722.57</v>
      </c>
      <c r="H310" s="42">
        <f t="shared" si="15"/>
        <v>43600.899999999994</v>
      </c>
      <c r="I310" s="42">
        <f t="shared" si="15"/>
        <v>12147.3</v>
      </c>
      <c r="J310" s="42">
        <f t="shared" si="15"/>
        <v>1204.19</v>
      </c>
      <c r="K310" s="42">
        <f t="shared" si="15"/>
        <v>9947.39</v>
      </c>
      <c r="L310" s="41">
        <f t="shared" si="15"/>
        <v>220176.49</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45111.1</f>
        <v>45111.1</v>
      </c>
      <c r="G315" s="18">
        <f>9930.78</f>
        <v>9930.7800000000007</v>
      </c>
      <c r="H315" s="18"/>
      <c r="I315" s="18"/>
      <c r="J315" s="18"/>
      <c r="K315" s="18"/>
      <c r="L315" s="19">
        <f>SUM(F315:K315)</f>
        <v>55041.88</v>
      </c>
      <c r="M315" s="8"/>
      <c r="N315" s="266"/>
    </row>
    <row r="316" spans="1:14" s="3" customFormat="1" ht="12.2" customHeight="1" x14ac:dyDescent="0.15">
      <c r="A316" s="1" t="s">
        <v>439</v>
      </c>
      <c r="B316" s="2" t="s">
        <v>359</v>
      </c>
      <c r="C316" s="2" t="s">
        <v>291</v>
      </c>
      <c r="D316" s="2" t="s">
        <v>431</v>
      </c>
      <c r="E316" s="6">
        <v>1200</v>
      </c>
      <c r="F316" s="18">
        <f>112165.59</f>
        <v>112165.59</v>
      </c>
      <c r="G316" s="18">
        <f>51087.83</f>
        <v>51087.83</v>
      </c>
      <c r="H316" s="18">
        <f>27138.12</f>
        <v>27138.12</v>
      </c>
      <c r="I316" s="18">
        <f>10463.34</f>
        <v>10463.34</v>
      </c>
      <c r="J316" s="18"/>
      <c r="K316" s="18"/>
      <c r="L316" s="19">
        <f>SUM(F316:K316)</f>
        <v>200854.87999999998</v>
      </c>
      <c r="M316" s="8"/>
      <c r="N316" s="266"/>
    </row>
    <row r="317" spans="1:14" s="3" customFormat="1" ht="12.2" customHeight="1" x14ac:dyDescent="0.15">
      <c r="A317" s="1" t="s">
        <v>440</v>
      </c>
      <c r="B317" s="2" t="s">
        <v>359</v>
      </c>
      <c r="C317" s="2" t="s">
        <v>292</v>
      </c>
      <c r="D317" s="2" t="s">
        <v>431</v>
      </c>
      <c r="E317" s="6">
        <v>1300</v>
      </c>
      <c r="F317" s="18"/>
      <c r="G317" s="18"/>
      <c r="H317" s="18">
        <f>11066.71</f>
        <v>11066.71</v>
      </c>
      <c r="I317" s="18">
        <f>4026.3</f>
        <v>4026.3</v>
      </c>
      <c r="J317" s="18">
        <f>27406.11</f>
        <v>27406.11</v>
      </c>
      <c r="K317" s="18">
        <f>4729.95</f>
        <v>4729.95</v>
      </c>
      <c r="L317" s="19">
        <f>SUM(F317:K317)</f>
        <v>47229.069999999992</v>
      </c>
      <c r="M317" s="8"/>
      <c r="N317" s="266"/>
    </row>
    <row r="318" spans="1:14" s="3" customFormat="1" ht="12.2" customHeight="1" x14ac:dyDescent="0.15">
      <c r="A318" s="1" t="s">
        <v>441</v>
      </c>
      <c r="B318" s="2" t="s">
        <v>359</v>
      </c>
      <c r="C318" s="2" t="s">
        <v>293</v>
      </c>
      <c r="D318" s="2" t="s">
        <v>431</v>
      </c>
      <c r="E318" s="6">
        <v>1400</v>
      </c>
      <c r="F318" s="18"/>
      <c r="G318" s="18"/>
      <c r="H318" s="18"/>
      <c r="I318" s="18">
        <f>73.86</f>
        <v>73.86</v>
      </c>
      <c r="J318" s="18"/>
      <c r="K318" s="18"/>
      <c r="L318" s="19">
        <f>SUM(F318:K318)</f>
        <v>73.86</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1285.04+290.25</f>
        <v>1575.29</v>
      </c>
      <c r="G320" s="18">
        <f>22.2</f>
        <v>22.2</v>
      </c>
      <c r="H320" s="18">
        <f>500+990+1923.95</f>
        <v>3413.95</v>
      </c>
      <c r="I320" s="18">
        <f>191.22</f>
        <v>191.22</v>
      </c>
      <c r="J320" s="18">
        <f>305.45+800.25</f>
        <v>1105.7</v>
      </c>
      <c r="K320" s="18"/>
      <c r="L320" s="19">
        <f t="shared" ref="L320:L326" si="16">SUM(F320:K320)</f>
        <v>6308.36</v>
      </c>
      <c r="M320" s="8"/>
      <c r="N320" s="266"/>
    </row>
    <row r="321" spans="1:14" s="3" customFormat="1" ht="12.2" customHeight="1" x14ac:dyDescent="0.15">
      <c r="A321" s="1" t="s">
        <v>443</v>
      </c>
      <c r="B321" s="2" t="s">
        <v>359</v>
      </c>
      <c r="C321" s="2" t="s">
        <v>295</v>
      </c>
      <c r="D321" s="2" t="s">
        <v>431</v>
      </c>
      <c r="E321" s="6">
        <v>2200</v>
      </c>
      <c r="F321" s="18">
        <f>11485.52</f>
        <v>11485.52</v>
      </c>
      <c r="G321" s="18">
        <f>2777.28</f>
        <v>2777.28</v>
      </c>
      <c r="H321" s="18">
        <f>21334.71</f>
        <v>21334.71</v>
      </c>
      <c r="I321" s="18">
        <f>808.58</f>
        <v>808.58</v>
      </c>
      <c r="J321" s="18">
        <f>313.52</f>
        <v>313.52</v>
      </c>
      <c r="K321" s="18"/>
      <c r="L321" s="19">
        <f t="shared" si="16"/>
        <v>36719.61</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f>11723.71</f>
        <v>11723.71</v>
      </c>
      <c r="L322" s="19">
        <f t="shared" si="16"/>
        <v>11723.71</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f>3029.01</f>
        <v>3029.01</v>
      </c>
      <c r="I326" s="18">
        <f>1588.19</f>
        <v>1588.19</v>
      </c>
      <c r="J326" s="18"/>
      <c r="K326" s="18"/>
      <c r="L326" s="19">
        <f t="shared" si="16"/>
        <v>4617.2000000000007</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170337.5</v>
      </c>
      <c r="G329" s="42">
        <f t="shared" si="17"/>
        <v>63818.09</v>
      </c>
      <c r="H329" s="42">
        <f t="shared" si="17"/>
        <v>65982.5</v>
      </c>
      <c r="I329" s="42">
        <f t="shared" si="17"/>
        <v>17151.489999999998</v>
      </c>
      <c r="J329" s="42">
        <f t="shared" si="17"/>
        <v>28825.33</v>
      </c>
      <c r="K329" s="42">
        <f t="shared" si="17"/>
        <v>16453.66</v>
      </c>
      <c r="L329" s="41">
        <f t="shared" si="17"/>
        <v>362568.56999999995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671220.5</v>
      </c>
      <c r="G339" s="41">
        <f t="shared" si="20"/>
        <v>209279.56</v>
      </c>
      <c r="H339" s="41">
        <f t="shared" si="20"/>
        <v>201966.46000000002</v>
      </c>
      <c r="I339" s="41">
        <f t="shared" si="20"/>
        <v>65079.340000000004</v>
      </c>
      <c r="J339" s="41">
        <f t="shared" si="20"/>
        <v>30355.050000000003</v>
      </c>
      <c r="K339" s="41">
        <f t="shared" si="20"/>
        <v>40586.339999999997</v>
      </c>
      <c r="L339" s="41">
        <f t="shared" si="20"/>
        <v>1218487.25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671220.5</v>
      </c>
      <c r="G353" s="41">
        <f>G339</f>
        <v>209279.56</v>
      </c>
      <c r="H353" s="41">
        <f>H339</f>
        <v>201966.46000000002</v>
      </c>
      <c r="I353" s="41">
        <f>I339</f>
        <v>65079.340000000004</v>
      </c>
      <c r="J353" s="41">
        <f>J339</f>
        <v>30355.050000000003</v>
      </c>
      <c r="K353" s="47">
        <f>K339+K352</f>
        <v>40586.339999999997</v>
      </c>
      <c r="L353" s="41">
        <f>L339+L352</f>
        <v>1218487.25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95486.32</v>
      </c>
      <c r="G359" s="18">
        <v>17048.830000000002</v>
      </c>
      <c r="H359" s="18">
        <v>415.58</v>
      </c>
      <c r="I359" s="18">
        <f>67305.49+10750.24</f>
        <v>78055.73000000001</v>
      </c>
      <c r="J359" s="18">
        <v>7248.9</v>
      </c>
      <c r="K359" s="18">
        <v>3856.73</v>
      </c>
      <c r="L359" s="13">
        <f>SUM(F359:K359)</f>
        <v>202112.09000000003</v>
      </c>
      <c r="M359" s="8"/>
      <c r="N359" s="266"/>
    </row>
    <row r="360" spans="1:22" s="3" customFormat="1" ht="12.2" customHeight="1" x14ac:dyDescent="0.15">
      <c r="A360" s="1" t="s">
        <v>542</v>
      </c>
      <c r="B360" s="2" t="s">
        <v>366</v>
      </c>
      <c r="C360" s="6">
        <v>2</v>
      </c>
      <c r="D360" s="2" t="s">
        <v>431</v>
      </c>
      <c r="E360" s="6"/>
      <c r="F360" s="18">
        <v>52359.35</v>
      </c>
      <c r="G360" s="18">
        <v>12240.18</v>
      </c>
      <c r="H360" s="18"/>
      <c r="I360" s="18">
        <f>48181.12+7718.12</f>
        <v>55899.240000000005</v>
      </c>
      <c r="J360" s="18">
        <v>5321.75</v>
      </c>
      <c r="K360" s="18">
        <v>3793.23</v>
      </c>
      <c r="L360" s="19">
        <f>SUM(F360:K360)</f>
        <v>129613.75</v>
      </c>
      <c r="M360" s="8"/>
      <c r="N360" s="266"/>
    </row>
    <row r="361" spans="1:22" s="3" customFormat="1" ht="12.2" customHeight="1" x14ac:dyDescent="0.15">
      <c r="A361" s="3" t="s">
        <v>543</v>
      </c>
      <c r="B361" s="2" t="s">
        <v>366</v>
      </c>
      <c r="C361" s="6">
        <v>3</v>
      </c>
      <c r="D361" s="2" t="s">
        <v>431</v>
      </c>
      <c r="E361" s="6"/>
      <c r="F361" s="18">
        <v>106830.94</v>
      </c>
      <c r="G361" s="18">
        <v>14425.93</v>
      </c>
      <c r="H361" s="18">
        <v>1622.96</v>
      </c>
      <c r="I361" s="18">
        <f>83758.87+9096.37</f>
        <v>92855.239999999991</v>
      </c>
      <c r="J361" s="18">
        <v>31907.33</v>
      </c>
      <c r="K361" s="18">
        <v>3793.33</v>
      </c>
      <c r="L361" s="19">
        <f>SUM(F361:K361)</f>
        <v>251435.73</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254676.61000000002</v>
      </c>
      <c r="G363" s="47">
        <f t="shared" si="22"/>
        <v>43714.94</v>
      </c>
      <c r="H363" s="47">
        <f t="shared" si="22"/>
        <v>2038.54</v>
      </c>
      <c r="I363" s="47">
        <f t="shared" si="22"/>
        <v>226810.21000000002</v>
      </c>
      <c r="J363" s="47">
        <f t="shared" si="22"/>
        <v>44477.98</v>
      </c>
      <c r="K363" s="47">
        <f t="shared" si="22"/>
        <v>11443.29</v>
      </c>
      <c r="L363" s="47">
        <f t="shared" si="22"/>
        <v>583161.57000000007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61649.49+10434.61</f>
        <v>72084.100000000006</v>
      </c>
      <c r="G368" s="18">
        <f>41234.1+7491.51</f>
        <v>48725.61</v>
      </c>
      <c r="H368" s="18">
        <f>71660.32+8829.29</f>
        <v>80489.610000000015</v>
      </c>
      <c r="I368" s="56">
        <f>SUM(F368:H368)</f>
        <v>201299.32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5656+315.63</f>
        <v>5971.63</v>
      </c>
      <c r="G369" s="63">
        <f>6947.02+226.61</f>
        <v>7173.63</v>
      </c>
      <c r="H369" s="63">
        <f>12098.55+267.08</f>
        <v>12365.63</v>
      </c>
      <c r="I369" s="56">
        <f>SUM(F369:H369)</f>
        <v>25510.89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78055.73000000001</v>
      </c>
      <c r="G370" s="47">
        <f>SUM(G368:G369)</f>
        <v>55899.24</v>
      </c>
      <c r="H370" s="47">
        <f>SUM(H368:H369)</f>
        <v>92855.24000000002</v>
      </c>
      <c r="I370" s="47">
        <f>SUM(I368:I369)</f>
        <v>226810.21000000002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256891.61</v>
      </c>
      <c r="I380" s="18"/>
      <c r="J380" s="18"/>
      <c r="K380" s="18"/>
      <c r="L380" s="13">
        <f t="shared" si="23"/>
        <v>256891.61</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256891.61</v>
      </c>
      <c r="I383" s="41">
        <f t="shared" si="24"/>
        <v>0</v>
      </c>
      <c r="J383" s="47">
        <f t="shared" si="24"/>
        <v>0</v>
      </c>
      <c r="K383" s="47">
        <f t="shared" si="24"/>
        <v>0</v>
      </c>
      <c r="L383" s="47">
        <f t="shared" si="24"/>
        <v>256891.61</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14639.76</v>
      </c>
      <c r="I401" s="18"/>
      <c r="J401" s="24" t="s">
        <v>288</v>
      </c>
      <c r="K401" s="24" t="s">
        <v>288</v>
      </c>
      <c r="L401" s="56">
        <f t="shared" si="26"/>
        <v>14639.76</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14639.76</v>
      </c>
      <c r="I402" s="47">
        <f>SUM(I396:I401)</f>
        <v>0</v>
      </c>
      <c r="J402" s="45" t="s">
        <v>288</v>
      </c>
      <c r="K402" s="45" t="s">
        <v>288</v>
      </c>
      <c r="L402" s="47">
        <f>SUM(L396:L401)</f>
        <v>14639.76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f>87886.36+35000</f>
        <v>122886.36</v>
      </c>
      <c r="I404" s="18"/>
      <c r="J404" s="24" t="s">
        <v>288</v>
      </c>
      <c r="K404" s="24" t="s">
        <v>288</v>
      </c>
      <c r="L404" s="56">
        <f>SUM(F404:K404)</f>
        <v>122886.36</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122886.36</v>
      </c>
      <c r="I408" s="47">
        <f>SUM(I404:I407)</f>
        <v>0</v>
      </c>
      <c r="J408" s="49" t="s">
        <v>288</v>
      </c>
      <c r="K408" s="49" t="s">
        <v>288</v>
      </c>
      <c r="L408" s="47">
        <f>SUM(L404:L407)</f>
        <v>122886.36</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137526.12</v>
      </c>
      <c r="I409" s="47">
        <f>I394+I402+I408</f>
        <v>0</v>
      </c>
      <c r="J409" s="24" t="s">
        <v>288</v>
      </c>
      <c r="K409" s="24" t="s">
        <v>288</v>
      </c>
      <c r="L409" s="47">
        <f>L394+L402+L408</f>
        <v>137526.12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v>35000</v>
      </c>
      <c r="L430" s="56">
        <f>SUM(F430:K430)</f>
        <v>35000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35000</v>
      </c>
      <c r="L434" s="47">
        <f t="shared" si="31"/>
        <v>35000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35000</v>
      </c>
      <c r="L435" s="47">
        <f t="shared" si="32"/>
        <v>35000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1181348.04</v>
      </c>
      <c r="H443" s="18">
        <v>3859178.21</v>
      </c>
      <c r="I443" s="56">
        <f t="shared" si="33"/>
        <v>5040526.25</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1181348.04</v>
      </c>
      <c r="H447" s="13">
        <f>SUM(H440:H446)</f>
        <v>3859178.21</v>
      </c>
      <c r="I447" s="13">
        <f>SUM(I440:I446)</f>
        <v>5040526.25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1166708.28</v>
      </c>
      <c r="H457" s="18">
        <v>3771291.85</v>
      </c>
      <c r="I457" s="56">
        <f t="shared" si="34"/>
        <v>4938000.13</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3294.95</v>
      </c>
      <c r="H458" s="18">
        <v>66710.52</v>
      </c>
      <c r="I458" s="56">
        <f t="shared" si="34"/>
        <v>70005.47</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v>11344.81</v>
      </c>
      <c r="H459" s="18">
        <v>21175.84</v>
      </c>
      <c r="I459" s="56">
        <f t="shared" si="34"/>
        <v>32520.65</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1181348.04</v>
      </c>
      <c r="H461" s="83">
        <f>SUM(H455:H460)</f>
        <v>3859178.21</v>
      </c>
      <c r="I461" s="83">
        <f>SUM(I455:I460)</f>
        <v>5040526.25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1181348.04</v>
      </c>
      <c r="H462" s="42">
        <f>H453+H461</f>
        <v>3859178.21</v>
      </c>
      <c r="I462" s="42">
        <f>I453+I461</f>
        <v>5040526.25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832590.31</v>
      </c>
      <c r="G466" s="18">
        <v>100203.64</v>
      </c>
      <c r="H466" s="18">
        <f>52502.63+5287.56+256258.37</f>
        <v>314048.56</v>
      </c>
      <c r="I466" s="18">
        <f>238337.44+2450</f>
        <v>240787.44</v>
      </c>
      <c r="J466" s="18">
        <v>4769668.3899999997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40411933.2-64546.37</f>
        <v>40347386.830000006</v>
      </c>
      <c r="G469" s="18">
        <v>514137.09</v>
      </c>
      <c r="H469" s="18">
        <f>1165228.45+64502.25+17246.59</f>
        <v>1246977.29</v>
      </c>
      <c r="I469" s="18">
        <v>16104.17</v>
      </c>
      <c r="J469" s="18">
        <f>102526.12+35000</f>
        <v>137526.12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168331.74</v>
      </c>
      <c r="K470" s="24" t="s">
        <v>288</v>
      </c>
      <c r="L470" s="24" t="s">
        <v>288</v>
      </c>
      <c r="N470" s="265"/>
    </row>
    <row r="471" spans="1:14" s="52" customFormat="1" ht="12.2" customHeight="1" x14ac:dyDescent="0.2">
      <c r="A471" s="92" t="s">
        <v>425</v>
      </c>
      <c r="B471" s="75">
        <v>19</v>
      </c>
      <c r="C471" s="80">
        <v>4</v>
      </c>
      <c r="D471" s="2" t="s">
        <v>432</v>
      </c>
      <c r="E471" s="80"/>
      <c r="F471" s="53">
        <f>SUM(F469:F470)</f>
        <v>40347386.830000006</v>
      </c>
      <c r="G471" s="53">
        <f>SUM(G469:G470)</f>
        <v>514137.09</v>
      </c>
      <c r="H471" s="53">
        <f>SUM(H469:H470)</f>
        <v>1246977.29</v>
      </c>
      <c r="I471" s="53">
        <f>SUM(I469:I470)</f>
        <v>16104.17</v>
      </c>
      <c r="J471" s="53">
        <f>SUM(J469:J470)</f>
        <v>305857.86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40065359.450000003</v>
      </c>
      <c r="G473" s="18">
        <v>583161.56999999995</v>
      </c>
      <c r="H473" s="18">
        <f>1158828.17+59659.08</f>
        <v>1218487.25</v>
      </c>
      <c r="I473" s="18">
        <v>256891.61</v>
      </c>
      <c r="J473" s="18">
        <v>35000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40065359.450000003</v>
      </c>
      <c r="G475" s="53">
        <f>SUM(G473:G474)</f>
        <v>583161.56999999995</v>
      </c>
      <c r="H475" s="53">
        <f>SUM(H473:H474)</f>
        <v>1218487.25</v>
      </c>
      <c r="I475" s="53">
        <f>SUM(I473:I474)</f>
        <v>256891.61</v>
      </c>
      <c r="J475" s="53">
        <f>SUM(J473:J474)</f>
        <v>35000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1114617.6900000051</v>
      </c>
      <c r="G477" s="53">
        <f>(G466+G471)- G475</f>
        <v>31179.160000000033</v>
      </c>
      <c r="H477" s="53">
        <f>(H466+H471)- H475</f>
        <v>342538.60000000009</v>
      </c>
      <c r="I477" s="53">
        <f>(I466+I471)- I475</f>
        <v>0</v>
      </c>
      <c r="J477" s="53">
        <f>(J466+J471)- J475</f>
        <v>5040526.25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10</v>
      </c>
      <c r="H491" s="154">
        <v>20</v>
      </c>
      <c r="I491" s="154">
        <v>10</v>
      </c>
      <c r="J491" s="154">
        <v>5</v>
      </c>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10895000</v>
      </c>
      <c r="G494" s="18">
        <v>1404300</v>
      </c>
      <c r="H494" s="18">
        <v>4393500</v>
      </c>
      <c r="I494" s="18">
        <v>2553500</v>
      </c>
      <c r="J494" s="18">
        <v>123530</v>
      </c>
      <c r="K494" s="24" t="s">
        <v>288</v>
      </c>
      <c r="L494" s="24" t="s">
        <v>288</v>
      </c>
      <c r="N494" s="265"/>
    </row>
    <row r="495" spans="1:14" s="52" customFormat="1" ht="12.2" customHeight="1" x14ac:dyDescent="0.2">
      <c r="A495" s="22" t="s">
        <v>618</v>
      </c>
      <c r="B495" s="75">
        <v>20</v>
      </c>
      <c r="C495" s="115">
        <v>5</v>
      </c>
      <c r="D495" s="2" t="s">
        <v>432</v>
      </c>
      <c r="E495" s="115"/>
      <c r="F495" s="18">
        <v>5.58</v>
      </c>
      <c r="G495" s="18">
        <v>5.0999999999999996</v>
      </c>
      <c r="H495" s="18">
        <v>4.43</v>
      </c>
      <c r="I495" s="18">
        <v>5.0999999999999996</v>
      </c>
      <c r="J495" s="18"/>
      <c r="K495" s="24" t="s">
        <v>288</v>
      </c>
      <c r="L495" s="24" t="s">
        <v>288</v>
      </c>
      <c r="N495" s="265"/>
    </row>
    <row r="496" spans="1:14" s="52" customFormat="1" ht="12.2" customHeight="1" x14ac:dyDescent="0.2">
      <c r="A496" s="22" t="s">
        <v>619</v>
      </c>
      <c r="B496" s="75">
        <v>20</v>
      </c>
      <c r="C496" s="115">
        <v>6</v>
      </c>
      <c r="D496" s="2" t="s">
        <v>432</v>
      </c>
      <c r="E496" s="115"/>
      <c r="F496" s="18">
        <v>540000</v>
      </c>
      <c r="G496" s="18">
        <v>700000</v>
      </c>
      <c r="H496" s="18">
        <v>1975000</v>
      </c>
      <c r="I496" s="18">
        <v>2295000</v>
      </c>
      <c r="J496" s="18">
        <v>27145.05</v>
      </c>
      <c r="K496" s="53">
        <f>SUM(F496:J496)</f>
        <v>5537145.0499999998</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540000</v>
      </c>
      <c r="G498" s="18">
        <v>140000</v>
      </c>
      <c r="H498" s="18">
        <v>220000</v>
      </c>
      <c r="I498" s="18">
        <v>255000</v>
      </c>
      <c r="J498" s="18">
        <v>13349.59</v>
      </c>
      <c r="K498" s="53">
        <f t="shared" si="35"/>
        <v>1168349.5900000001</v>
      </c>
      <c r="L498" s="24" t="s">
        <v>288</v>
      </c>
      <c r="N498" s="265"/>
    </row>
    <row r="499" spans="1:14" s="52" customFormat="1" ht="12.2" customHeight="1" x14ac:dyDescent="0.2">
      <c r="A499" s="200" t="s">
        <v>622</v>
      </c>
      <c r="B499" s="201">
        <v>20</v>
      </c>
      <c r="C499" s="202">
        <v>9</v>
      </c>
      <c r="D499" s="203" t="s">
        <v>432</v>
      </c>
      <c r="E499" s="202"/>
      <c r="F499" s="204">
        <v>0</v>
      </c>
      <c r="G499" s="204">
        <v>560000</v>
      </c>
      <c r="H499" s="204">
        <v>1755000</v>
      </c>
      <c r="I499" s="204">
        <v>2040000</v>
      </c>
      <c r="J499" s="204">
        <v>13795.46</v>
      </c>
      <c r="K499" s="205">
        <f t="shared" si="35"/>
        <v>4368795.46</v>
      </c>
      <c r="L499" s="206" t="s">
        <v>288</v>
      </c>
      <c r="N499" s="265"/>
    </row>
    <row r="500" spans="1:14" s="52" customFormat="1" ht="12.2" customHeight="1" thickBot="1" x14ac:dyDescent="0.25">
      <c r="A500" s="22" t="s">
        <v>623</v>
      </c>
      <c r="B500" s="75">
        <v>20</v>
      </c>
      <c r="C500" s="115">
        <v>10</v>
      </c>
      <c r="D500" s="2" t="s">
        <v>432</v>
      </c>
      <c r="E500" s="115"/>
      <c r="F500" s="18">
        <v>0</v>
      </c>
      <c r="G500" s="18">
        <v>59920</v>
      </c>
      <c r="H500" s="18">
        <v>273413.08</v>
      </c>
      <c r="I500" s="18">
        <v>526702.5</v>
      </c>
      <c r="J500" s="18">
        <v>460.77</v>
      </c>
      <c r="K500" s="53">
        <f t="shared" si="35"/>
        <v>860496.35000000009</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619920</v>
      </c>
      <c r="H501" s="42">
        <f>SUM(H499:H500)</f>
        <v>2028413.08</v>
      </c>
      <c r="I501" s="42">
        <f>SUM(I499:I500)</f>
        <v>2566702.5</v>
      </c>
      <c r="J501" s="42">
        <f>SUM(J499:J500)</f>
        <v>14256.23</v>
      </c>
      <c r="K501" s="42">
        <f t="shared" si="35"/>
        <v>5229291.8100000005</v>
      </c>
      <c r="L501" s="45" t="s">
        <v>288</v>
      </c>
      <c r="N501" s="265"/>
    </row>
    <row r="502" spans="1:14" s="52" customFormat="1" ht="12.2" customHeight="1" x14ac:dyDescent="0.2">
      <c r="A502" s="200" t="s">
        <v>651</v>
      </c>
      <c r="B502" s="201">
        <v>20</v>
      </c>
      <c r="C502" s="202">
        <v>12</v>
      </c>
      <c r="D502" s="203" t="s">
        <v>432</v>
      </c>
      <c r="E502" s="202"/>
      <c r="F502" s="204">
        <v>0</v>
      </c>
      <c r="G502" s="204">
        <v>140000</v>
      </c>
      <c r="H502" s="204">
        <v>220000</v>
      </c>
      <c r="I502" s="204">
        <v>255000</v>
      </c>
      <c r="J502" s="204">
        <v>13795.46</v>
      </c>
      <c r="K502" s="205">
        <f t="shared" si="35"/>
        <v>628795.46</v>
      </c>
      <c r="L502" s="206" t="s">
        <v>288</v>
      </c>
      <c r="N502" s="265"/>
    </row>
    <row r="503" spans="1:14" s="52" customFormat="1" ht="12.2" customHeight="1" thickBot="1" x14ac:dyDescent="0.25">
      <c r="A503" s="22" t="s">
        <v>625</v>
      </c>
      <c r="B503" s="75">
        <v>20</v>
      </c>
      <c r="C503" s="115">
        <v>13</v>
      </c>
      <c r="D503" s="2" t="s">
        <v>432</v>
      </c>
      <c r="E503" s="115"/>
      <c r="F503" s="18">
        <v>0</v>
      </c>
      <c r="G503" s="18">
        <v>26215</v>
      </c>
      <c r="H503" s="18">
        <v>67856.259999999995</v>
      </c>
      <c r="I503" s="18">
        <v>97537.5</v>
      </c>
      <c r="J503" s="18">
        <v>460.77</v>
      </c>
      <c r="K503" s="53">
        <f t="shared" si="35"/>
        <v>192069.53</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166215</v>
      </c>
      <c r="H504" s="42">
        <f>SUM(H502:H503)</f>
        <v>287856.26</v>
      </c>
      <c r="I504" s="42">
        <f>SUM(I502:I503)</f>
        <v>352537.5</v>
      </c>
      <c r="J504" s="42">
        <f>SUM(J502:J503)</f>
        <v>14256.23</v>
      </c>
      <c r="K504" s="42">
        <f t="shared" si="35"/>
        <v>820864.99</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1910074</v>
      </c>
      <c r="G508" s="144"/>
      <c r="H508" s="144">
        <v>44798</v>
      </c>
      <c r="I508" s="144">
        <v>1865276</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1644688.32+313919.5</f>
        <v>1958607.82</v>
      </c>
      <c r="G522" s="18">
        <f>963396.57+75548.06</f>
        <v>1038944.6299999999</v>
      </c>
      <c r="H522" s="18">
        <f>246160.38+55009.31</f>
        <v>301169.69</v>
      </c>
      <c r="I522" s="18">
        <f>16109.04+14796.8</f>
        <v>30905.84</v>
      </c>
      <c r="J522" s="18">
        <f>456.42</f>
        <v>456.42</v>
      </c>
      <c r="K522" s="18"/>
      <c r="L522" s="88">
        <f>SUM(F522:K522)</f>
        <v>3330084.4</v>
      </c>
      <c r="N522" s="265"/>
    </row>
    <row r="523" spans="1:14" s="52" customFormat="1" ht="12.2" customHeight="1" x14ac:dyDescent="0.2">
      <c r="A523" s="22" t="s">
        <v>634</v>
      </c>
      <c r="B523" s="105">
        <v>21</v>
      </c>
      <c r="C523" s="115">
        <v>2</v>
      </c>
      <c r="D523" s="2" t="s">
        <v>432</v>
      </c>
      <c r="E523" s="115"/>
      <c r="F523" s="18">
        <f>724442.43+241301.3</f>
        <v>965743.73</v>
      </c>
      <c r="G523" s="18">
        <f>562185.83+43966.49</f>
        <v>606152.31999999995</v>
      </c>
      <c r="H523" s="18">
        <f>11179.93+35450.44</f>
        <v>46630.37</v>
      </c>
      <c r="I523" s="18">
        <f>8919.42+10290.03</f>
        <v>19209.45</v>
      </c>
      <c r="J523" s="18"/>
      <c r="K523" s="18"/>
      <c r="L523" s="88">
        <f>SUM(F523:K523)</f>
        <v>1637735.8699999999</v>
      </c>
      <c r="N523" s="265"/>
    </row>
    <row r="524" spans="1:14" s="52" customFormat="1" ht="12.2" customHeight="1" thickBot="1" x14ac:dyDescent="0.25">
      <c r="A524" s="22" t="s">
        <v>635</v>
      </c>
      <c r="B524" s="105">
        <v>21</v>
      </c>
      <c r="C524" s="115">
        <v>3</v>
      </c>
      <c r="D524" s="2" t="s">
        <v>432</v>
      </c>
      <c r="E524" s="115"/>
      <c r="F524" s="18">
        <f>667264.75+308293.35</f>
        <v>975558.1</v>
      </c>
      <c r="G524" s="18">
        <f>449552.35+35297.05</f>
        <v>484849.39999999997</v>
      </c>
      <c r="H524" s="18">
        <f>670335.1+31783.16</f>
        <v>702118.26</v>
      </c>
      <c r="I524" s="18">
        <f>3011.61+10396.04</f>
        <v>13407.650000000001</v>
      </c>
      <c r="J524" s="18"/>
      <c r="K524" s="18"/>
      <c r="L524" s="88">
        <f>SUM(F524:K524)</f>
        <v>2175933.4099999997</v>
      </c>
      <c r="N524" s="265"/>
    </row>
    <row r="525" spans="1:14" s="52" customFormat="1" ht="12.2" customHeight="1" thickTop="1" x14ac:dyDescent="0.2">
      <c r="A525" s="139" t="s">
        <v>63</v>
      </c>
      <c r="B525" s="107">
        <v>21</v>
      </c>
      <c r="C525" s="195">
        <v>4</v>
      </c>
      <c r="D525" s="196" t="s">
        <v>432</v>
      </c>
      <c r="E525" s="195"/>
      <c r="F525" s="108">
        <f>SUM(F522:F524)</f>
        <v>3899909.65</v>
      </c>
      <c r="G525" s="108">
        <f t="shared" ref="G525:L525" si="36">SUM(G522:G524)</f>
        <v>2129946.3499999996</v>
      </c>
      <c r="H525" s="108">
        <f t="shared" si="36"/>
        <v>1049918.32</v>
      </c>
      <c r="I525" s="108">
        <f t="shared" si="36"/>
        <v>63522.94</v>
      </c>
      <c r="J525" s="108">
        <f t="shared" si="36"/>
        <v>456.42</v>
      </c>
      <c r="K525" s="108">
        <f t="shared" si="36"/>
        <v>0</v>
      </c>
      <c r="L525" s="89">
        <f t="shared" si="36"/>
        <v>7143753.6799999997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679090.12+656913.97</f>
        <v>1336004.0899999999</v>
      </c>
      <c r="G527" s="18">
        <f>109198.03</f>
        <v>109198.03</v>
      </c>
      <c r="H527" s="18">
        <f>43254.25+36792.86</f>
        <v>80047.11</v>
      </c>
      <c r="I527" s="18">
        <f>1979.93+5382.14</f>
        <v>7362.0700000000006</v>
      </c>
      <c r="J527" s="18">
        <f>655.88+1226.28</f>
        <v>1882.1599999999999</v>
      </c>
      <c r="K527" s="18"/>
      <c r="L527" s="88">
        <f>SUM(F527:K527)</f>
        <v>1534493.46</v>
      </c>
      <c r="M527" s="8"/>
      <c r="N527" s="266"/>
    </row>
    <row r="528" spans="1:14" s="3" customFormat="1" ht="12.2" customHeight="1" x14ac:dyDescent="0.15">
      <c r="A528" s="22" t="s">
        <v>634</v>
      </c>
      <c r="B528" s="105">
        <v>21</v>
      </c>
      <c r="C528" s="115">
        <v>6</v>
      </c>
      <c r="D528" s="2" t="s">
        <v>432</v>
      </c>
      <c r="E528" s="115"/>
      <c r="F528" s="18">
        <f>299719.3+123391.93</f>
        <v>423111.23</v>
      </c>
      <c r="G528" s="18">
        <f>111651.92</f>
        <v>111651.92</v>
      </c>
      <c r="H528" s="18">
        <f>6981.75+31357.52</f>
        <v>38339.270000000004</v>
      </c>
      <c r="I528" s="18">
        <f>1906.85+2658</f>
        <v>4564.8500000000004</v>
      </c>
      <c r="J528" s="18">
        <f>884.05+213.27</f>
        <v>1097.32</v>
      </c>
      <c r="K528" s="18"/>
      <c r="L528" s="88">
        <f>SUM(F528:K528)</f>
        <v>578764.59</v>
      </c>
      <c r="M528" s="8"/>
      <c r="N528" s="266"/>
    </row>
    <row r="529" spans="1:14" s="3" customFormat="1" ht="12.2" customHeight="1" thickBot="1" x14ac:dyDescent="0.2">
      <c r="A529" s="22" t="s">
        <v>635</v>
      </c>
      <c r="B529" s="118">
        <v>21</v>
      </c>
      <c r="C529" s="118">
        <v>7</v>
      </c>
      <c r="D529" s="2" t="s">
        <v>432</v>
      </c>
      <c r="E529" s="118"/>
      <c r="F529" s="18">
        <f>546095.13+133028.97</f>
        <v>679124.1</v>
      </c>
      <c r="G529" s="18">
        <f>212752.12</f>
        <v>212752.12</v>
      </c>
      <c r="H529" s="18">
        <f>11356.02+21904.97</f>
        <v>33260.990000000005</v>
      </c>
      <c r="I529" s="18">
        <f>11624.77+2247.66</f>
        <v>13872.43</v>
      </c>
      <c r="J529" s="18">
        <f>489.98+337.67</f>
        <v>827.65000000000009</v>
      </c>
      <c r="K529" s="18">
        <f>794</f>
        <v>794</v>
      </c>
      <c r="L529" s="88">
        <f>SUM(F529:K529)</f>
        <v>940631.29</v>
      </c>
      <c r="M529" s="8"/>
      <c r="N529" s="266"/>
    </row>
    <row r="530" spans="1:14" s="3" customFormat="1" ht="12.2" customHeight="1" thickTop="1" x14ac:dyDescent="0.15">
      <c r="A530" s="139" t="s">
        <v>65</v>
      </c>
      <c r="B530" s="107">
        <v>21</v>
      </c>
      <c r="C530" s="107">
        <v>8</v>
      </c>
      <c r="D530" s="158" t="s">
        <v>432</v>
      </c>
      <c r="E530" s="107"/>
      <c r="F530" s="89">
        <f>SUM(F527:F529)</f>
        <v>2438239.42</v>
      </c>
      <c r="G530" s="89">
        <f t="shared" ref="G530:L530" si="37">SUM(G527:G529)</f>
        <v>433602.07</v>
      </c>
      <c r="H530" s="89">
        <f t="shared" si="37"/>
        <v>151647.37</v>
      </c>
      <c r="I530" s="89">
        <f t="shared" si="37"/>
        <v>25799.350000000002</v>
      </c>
      <c r="J530" s="89">
        <f t="shared" si="37"/>
        <v>3807.1299999999997</v>
      </c>
      <c r="K530" s="89">
        <f t="shared" si="37"/>
        <v>794</v>
      </c>
      <c r="L530" s="89">
        <f t="shared" si="37"/>
        <v>3053889.34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203866.55</f>
        <v>203866.55</v>
      </c>
      <c r="G532" s="18">
        <f>15459.5</f>
        <v>15459.5</v>
      </c>
      <c r="H532" s="18">
        <f>1372.56</f>
        <v>1372.56</v>
      </c>
      <c r="I532" s="18">
        <f>1378.96</f>
        <v>1378.96</v>
      </c>
      <c r="J532" s="18"/>
      <c r="K532" s="18">
        <f>706.05</f>
        <v>706.05</v>
      </c>
      <c r="L532" s="88">
        <f>SUM(F532:K532)</f>
        <v>222783.61999999997</v>
      </c>
      <c r="M532" s="8"/>
      <c r="N532" s="266"/>
    </row>
    <row r="533" spans="1:14" s="3" customFormat="1" ht="12.2" customHeight="1" x14ac:dyDescent="0.15">
      <c r="A533" s="22" t="s">
        <v>634</v>
      </c>
      <c r="B533" s="105">
        <v>21</v>
      </c>
      <c r="C533" s="105">
        <v>10</v>
      </c>
      <c r="D533" s="2" t="s">
        <v>432</v>
      </c>
      <c r="E533" s="105"/>
      <c r="F533" s="18">
        <f>131380.66</f>
        <v>131380.66</v>
      </c>
      <c r="G533" s="18">
        <f>15950.27</f>
        <v>15950.27</v>
      </c>
      <c r="H533" s="18">
        <f>884.54</f>
        <v>884.54</v>
      </c>
      <c r="I533" s="18">
        <f>888.66</f>
        <v>888.66</v>
      </c>
      <c r="J533" s="18"/>
      <c r="K533" s="18">
        <f>455.01</f>
        <v>455.01</v>
      </c>
      <c r="L533" s="88">
        <f>SUM(F533:K533)</f>
        <v>149559.14000000001</v>
      </c>
      <c r="M533" s="8"/>
      <c r="N533" s="266"/>
    </row>
    <row r="534" spans="1:14" s="3" customFormat="1" ht="12.2" customHeight="1" thickBot="1" x14ac:dyDescent="0.2">
      <c r="A534" s="22" t="s">
        <v>635</v>
      </c>
      <c r="B534" s="105">
        <v>21</v>
      </c>
      <c r="C534" s="105">
        <v>11</v>
      </c>
      <c r="D534" s="2" t="s">
        <v>432</v>
      </c>
      <c r="E534" s="105"/>
      <c r="F534" s="18">
        <f>117789.56</f>
        <v>117789.56</v>
      </c>
      <c r="G534" s="18">
        <f>13741.77</f>
        <v>13741.77</v>
      </c>
      <c r="H534" s="18">
        <f>793.03</f>
        <v>793.03</v>
      </c>
      <c r="I534" s="18">
        <f>796.73</f>
        <v>796.73</v>
      </c>
      <c r="J534" s="18"/>
      <c r="K534" s="18">
        <f>407.94</f>
        <v>407.94</v>
      </c>
      <c r="L534" s="88">
        <f>SUM(F534:K534)</f>
        <v>133529.03</v>
      </c>
      <c r="M534" s="8"/>
      <c r="N534" s="266"/>
    </row>
    <row r="535" spans="1:14" s="3" customFormat="1" ht="12.2" customHeight="1" thickTop="1" x14ac:dyDescent="0.15">
      <c r="A535" s="139" t="s">
        <v>67</v>
      </c>
      <c r="B535" s="107">
        <v>21</v>
      </c>
      <c r="C535" s="107">
        <v>12</v>
      </c>
      <c r="D535" s="158" t="s">
        <v>432</v>
      </c>
      <c r="E535" s="107"/>
      <c r="F535" s="89">
        <f>SUM(F532:F534)</f>
        <v>453036.76999999996</v>
      </c>
      <c r="G535" s="89">
        <f t="shared" ref="G535:L535" si="38">SUM(G532:G534)</f>
        <v>45151.54</v>
      </c>
      <c r="H535" s="89">
        <f t="shared" si="38"/>
        <v>3050.13</v>
      </c>
      <c r="I535" s="89">
        <f t="shared" si="38"/>
        <v>3064.35</v>
      </c>
      <c r="J535" s="89">
        <f t="shared" si="38"/>
        <v>0</v>
      </c>
      <c r="K535" s="89">
        <f t="shared" si="38"/>
        <v>1569</v>
      </c>
      <c r="L535" s="89">
        <f t="shared" si="38"/>
        <v>505871.79000000004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74283.78</f>
        <v>74283.78</v>
      </c>
      <c r="I537" s="18"/>
      <c r="J537" s="18"/>
      <c r="K537" s="18"/>
      <c r="L537" s="88">
        <f>SUM(F537:K537)</f>
        <v>74283.78</v>
      </c>
      <c r="M537" s="8"/>
      <c r="N537" s="266"/>
    </row>
    <row r="538" spans="1:14" s="3" customFormat="1" ht="12.2" customHeight="1" x14ac:dyDescent="0.15">
      <c r="A538" s="22" t="s">
        <v>634</v>
      </c>
      <c r="B538" s="105">
        <v>21</v>
      </c>
      <c r="C538" s="105">
        <v>14</v>
      </c>
      <c r="D538" s="2" t="s">
        <v>432</v>
      </c>
      <c r="E538" s="105"/>
      <c r="F538" s="18"/>
      <c r="G538" s="18"/>
      <c r="H538" s="18">
        <f>53331.95</f>
        <v>53331.95</v>
      </c>
      <c r="I538" s="18"/>
      <c r="J538" s="18"/>
      <c r="K538" s="18"/>
      <c r="L538" s="88">
        <f>SUM(F538:K538)</f>
        <v>53331.95</v>
      </c>
      <c r="M538" s="8"/>
      <c r="N538" s="266"/>
    </row>
    <row r="539" spans="1:14" s="3" customFormat="1" ht="12.2" customHeight="1" thickBot="1" x14ac:dyDescent="0.2">
      <c r="A539" s="22" t="s">
        <v>635</v>
      </c>
      <c r="B539" s="105">
        <v>21</v>
      </c>
      <c r="C539" s="105">
        <v>15</v>
      </c>
      <c r="D539" s="2" t="s">
        <v>432</v>
      </c>
      <c r="E539" s="105"/>
      <c r="F539" s="18"/>
      <c r="G539" s="18"/>
      <c r="H539" s="18">
        <f>62855.51</f>
        <v>62855.51</v>
      </c>
      <c r="I539" s="18"/>
      <c r="J539" s="18"/>
      <c r="K539" s="18"/>
      <c r="L539" s="88">
        <f>SUM(F539:K539)</f>
        <v>62855.51</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190471.24</v>
      </c>
      <c r="I540" s="89">
        <f t="shared" si="39"/>
        <v>0</v>
      </c>
      <c r="J540" s="89">
        <f t="shared" si="39"/>
        <v>0</v>
      </c>
      <c r="K540" s="89">
        <f t="shared" si="39"/>
        <v>0</v>
      </c>
      <c r="L540" s="89">
        <f t="shared" si="39"/>
        <v>190471.24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158974.15</f>
        <v>158974.15</v>
      </c>
      <c r="I542" s="18"/>
      <c r="J542" s="18"/>
      <c r="K542" s="18"/>
      <c r="L542" s="88">
        <f>SUM(F542:K542)</f>
        <v>158974.15</v>
      </c>
      <c r="M542" s="8"/>
      <c r="N542" s="266"/>
    </row>
    <row r="543" spans="1:14" s="3" customFormat="1" ht="12.2" customHeight="1" x14ac:dyDescent="0.15">
      <c r="A543" s="22" t="s">
        <v>634</v>
      </c>
      <c r="B543" s="105">
        <v>21</v>
      </c>
      <c r="C543" s="105">
        <v>18</v>
      </c>
      <c r="D543" s="2" t="s">
        <v>432</v>
      </c>
      <c r="E543" s="105"/>
      <c r="F543" s="18"/>
      <c r="G543" s="18"/>
      <c r="H543" s="18">
        <v>50038.67</v>
      </c>
      <c r="I543" s="18"/>
      <c r="J543" s="18"/>
      <c r="K543" s="18"/>
      <c r="L543" s="88">
        <f>SUM(F543:K543)</f>
        <v>50038.67</v>
      </c>
      <c r="M543" s="8"/>
      <c r="N543" s="266"/>
    </row>
    <row r="544" spans="1:14" s="3" customFormat="1" ht="12.2" customHeight="1" thickBot="1" x14ac:dyDescent="0.2">
      <c r="A544" s="22" t="s">
        <v>635</v>
      </c>
      <c r="B544" s="105">
        <v>21</v>
      </c>
      <c r="C544" s="105">
        <v>19</v>
      </c>
      <c r="D544" s="2" t="s">
        <v>432</v>
      </c>
      <c r="E544" s="105"/>
      <c r="F544" s="18"/>
      <c r="G544" s="18"/>
      <c r="H544" s="18">
        <f>114463.53</f>
        <v>114463.53</v>
      </c>
      <c r="I544" s="18"/>
      <c r="J544" s="18"/>
      <c r="K544" s="18"/>
      <c r="L544" s="88">
        <f>SUM(F544:K544)</f>
        <v>114463.53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323476.34999999998</v>
      </c>
      <c r="I545" s="193">
        <f t="shared" si="40"/>
        <v>0</v>
      </c>
      <c r="J545" s="193">
        <f t="shared" si="40"/>
        <v>0</v>
      </c>
      <c r="K545" s="193">
        <f t="shared" si="40"/>
        <v>0</v>
      </c>
      <c r="L545" s="193">
        <f t="shared" si="40"/>
        <v>323476.34999999998</v>
      </c>
      <c r="M545" s="8"/>
      <c r="N545" s="266"/>
    </row>
    <row r="546" spans="1:14" s="3" customFormat="1" ht="12.2" customHeight="1" thickTop="1" x14ac:dyDescent="0.15">
      <c r="A546" s="98" t="s">
        <v>72</v>
      </c>
      <c r="B546" s="107">
        <v>21</v>
      </c>
      <c r="C546" s="107">
        <v>21</v>
      </c>
      <c r="D546" s="158" t="s">
        <v>432</v>
      </c>
      <c r="E546" s="107"/>
      <c r="F546" s="89">
        <f>F525+F530+F535+F540+F545</f>
        <v>6791185.8399999999</v>
      </c>
      <c r="G546" s="89">
        <f t="shared" ref="G546:L546" si="41">G525+G530+G535+G540+G545</f>
        <v>2608699.9599999995</v>
      </c>
      <c r="H546" s="89">
        <f t="shared" si="41"/>
        <v>1718563.4099999997</v>
      </c>
      <c r="I546" s="89">
        <f t="shared" si="41"/>
        <v>92386.640000000014</v>
      </c>
      <c r="J546" s="89">
        <f t="shared" si="41"/>
        <v>4263.5499999999993</v>
      </c>
      <c r="K546" s="89">
        <f t="shared" si="41"/>
        <v>2363</v>
      </c>
      <c r="L546" s="89">
        <f t="shared" si="41"/>
        <v>11217462.399999999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3330084.4</v>
      </c>
      <c r="G550" s="87">
        <f>L527</f>
        <v>1534493.46</v>
      </c>
      <c r="H550" s="87">
        <f>L532</f>
        <v>222783.61999999997</v>
      </c>
      <c r="I550" s="87">
        <f>L537</f>
        <v>74283.78</v>
      </c>
      <c r="J550" s="87">
        <f>L542</f>
        <v>158974.15</v>
      </c>
      <c r="K550" s="87">
        <f>SUM(F550:J550)</f>
        <v>5320619.41</v>
      </c>
      <c r="L550" s="24" t="s">
        <v>288</v>
      </c>
      <c r="M550" s="8"/>
      <c r="N550" s="266"/>
    </row>
    <row r="551" spans="1:14" s="3" customFormat="1" ht="12.2" customHeight="1" x14ac:dyDescent="0.15">
      <c r="A551" s="22" t="s">
        <v>634</v>
      </c>
      <c r="B551" s="75">
        <v>21</v>
      </c>
      <c r="C551" s="75">
        <v>23</v>
      </c>
      <c r="D551" s="2" t="s">
        <v>432</v>
      </c>
      <c r="E551" s="75"/>
      <c r="F551" s="87">
        <f>L523</f>
        <v>1637735.8699999999</v>
      </c>
      <c r="G551" s="87">
        <f>L528</f>
        <v>578764.59</v>
      </c>
      <c r="H551" s="87">
        <f>L533</f>
        <v>149559.14000000001</v>
      </c>
      <c r="I551" s="87">
        <f>L538</f>
        <v>53331.95</v>
      </c>
      <c r="J551" s="87">
        <f>L543</f>
        <v>50038.67</v>
      </c>
      <c r="K551" s="87">
        <f>SUM(F551:J551)</f>
        <v>2469430.2200000002</v>
      </c>
      <c r="L551" s="24" t="s">
        <v>288</v>
      </c>
      <c r="M551" s="8"/>
      <c r="N551" s="266"/>
    </row>
    <row r="552" spans="1:14" s="3" customFormat="1" ht="12.2" customHeight="1" thickBot="1" x14ac:dyDescent="0.2">
      <c r="A552" s="22" t="s">
        <v>635</v>
      </c>
      <c r="B552" s="75">
        <v>21</v>
      </c>
      <c r="C552" s="75">
        <v>24</v>
      </c>
      <c r="D552" s="2" t="s">
        <v>432</v>
      </c>
      <c r="E552" s="75"/>
      <c r="F552" s="87">
        <f>L524</f>
        <v>2175933.4099999997</v>
      </c>
      <c r="G552" s="87">
        <f>L529</f>
        <v>940631.29</v>
      </c>
      <c r="H552" s="87">
        <f>L534</f>
        <v>133529.03</v>
      </c>
      <c r="I552" s="87">
        <f>L539</f>
        <v>62855.51</v>
      </c>
      <c r="J552" s="87">
        <f>L544</f>
        <v>114463.53</v>
      </c>
      <c r="K552" s="87">
        <f>SUM(F552:J552)</f>
        <v>3427412.7699999991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7143753.6799999997</v>
      </c>
      <c r="G553" s="89">
        <f t="shared" si="42"/>
        <v>3053889.34</v>
      </c>
      <c r="H553" s="89">
        <f t="shared" si="42"/>
        <v>505871.79000000004</v>
      </c>
      <c r="I553" s="89">
        <f t="shared" si="42"/>
        <v>190471.24</v>
      </c>
      <c r="J553" s="89">
        <f t="shared" si="42"/>
        <v>323476.34999999998</v>
      </c>
      <c r="K553" s="89">
        <f t="shared" si="42"/>
        <v>11217462.4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f>231961.79</f>
        <v>231961.79</v>
      </c>
      <c r="G558" s="18">
        <f>33423.56</f>
        <v>33423.56</v>
      </c>
      <c r="H558" s="18">
        <f>129.99</f>
        <v>129.99</v>
      </c>
      <c r="I558" s="18">
        <f>16037.74</f>
        <v>16037.74</v>
      </c>
      <c r="J558" s="18"/>
      <c r="K558" s="18"/>
      <c r="L558" s="88">
        <f>SUM(F558:K558)</f>
        <v>281553.07999999996</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231961.79</v>
      </c>
      <c r="G561" s="108">
        <f t="shared" si="43"/>
        <v>33423.56</v>
      </c>
      <c r="H561" s="108">
        <f t="shared" si="43"/>
        <v>129.99</v>
      </c>
      <c r="I561" s="108">
        <f t="shared" si="43"/>
        <v>16037.74</v>
      </c>
      <c r="J561" s="108">
        <f t="shared" si="43"/>
        <v>0</v>
      </c>
      <c r="K561" s="108">
        <f t="shared" si="43"/>
        <v>0</v>
      </c>
      <c r="L561" s="89">
        <f t="shared" si="43"/>
        <v>281553.07999999996</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f>36810.81+2113.46</f>
        <v>38924.269999999997</v>
      </c>
      <c r="G563" s="18">
        <f>18561.11+569.51</f>
        <v>19130.62</v>
      </c>
      <c r="H563" s="18">
        <f>925.57</f>
        <v>925.57</v>
      </c>
      <c r="I563" s="18"/>
      <c r="J563" s="18">
        <f>539.83</f>
        <v>539.83000000000004</v>
      </c>
      <c r="K563" s="18"/>
      <c r="L563" s="88">
        <f>SUM(F563:K563)</f>
        <v>59520.29</v>
      </c>
      <c r="M563" s="8"/>
      <c r="N563" s="266"/>
    </row>
    <row r="564" spans="1:14" s="3" customFormat="1" ht="12.2" customHeight="1" x14ac:dyDescent="0.15">
      <c r="A564" s="22" t="s">
        <v>634</v>
      </c>
      <c r="B564" s="105">
        <v>22</v>
      </c>
      <c r="C564" s="115">
        <v>6</v>
      </c>
      <c r="D564" s="2" t="s">
        <v>432</v>
      </c>
      <c r="E564" s="115"/>
      <c r="F564" s="18">
        <f>26428.27+1517.36</f>
        <v>27945.63</v>
      </c>
      <c r="G564" s="18">
        <f>13325.92+408.88</f>
        <v>13734.8</v>
      </c>
      <c r="H564" s="18">
        <f>664.51</f>
        <v>664.51</v>
      </c>
      <c r="I564" s="18"/>
      <c r="J564" s="18">
        <f>387.57</f>
        <v>387.57</v>
      </c>
      <c r="K564" s="18"/>
      <c r="L564" s="88">
        <f>SUM(F564:K564)</f>
        <v>42732.51</v>
      </c>
      <c r="M564" s="8"/>
      <c r="N564" s="266"/>
    </row>
    <row r="565" spans="1:14" s="3" customFormat="1" ht="12.2" customHeight="1" thickBot="1" x14ac:dyDescent="0.2">
      <c r="A565" s="22" t="s">
        <v>635</v>
      </c>
      <c r="B565" s="105">
        <v>22</v>
      </c>
      <c r="C565" s="118">
        <v>7</v>
      </c>
      <c r="D565" s="2" t="s">
        <v>432</v>
      </c>
      <c r="E565" s="118"/>
      <c r="F565" s="18">
        <f>31147.61+1788.31</f>
        <v>32935.919999999998</v>
      </c>
      <c r="G565" s="18">
        <f>15705.55+481.9</f>
        <v>16187.449999999999</v>
      </c>
      <c r="H565" s="18">
        <f>783.17</f>
        <v>783.17</v>
      </c>
      <c r="I565" s="18"/>
      <c r="J565" s="18">
        <f>456.78</f>
        <v>456.78</v>
      </c>
      <c r="K565" s="18"/>
      <c r="L565" s="88">
        <f>SUM(F565:K565)</f>
        <v>50363.319999999992</v>
      </c>
      <c r="M565" s="8"/>
      <c r="N565" s="266"/>
    </row>
    <row r="566" spans="1:14" s="3" customFormat="1" ht="12.2" customHeight="1" thickTop="1" x14ac:dyDescent="0.15">
      <c r="A566" s="139" t="s">
        <v>65</v>
      </c>
      <c r="B566" s="107">
        <v>22</v>
      </c>
      <c r="C566" s="107">
        <v>8</v>
      </c>
      <c r="D566" s="196" t="s">
        <v>432</v>
      </c>
      <c r="E566" s="107"/>
      <c r="F566" s="89">
        <f t="shared" ref="F566:L566" si="44">SUM(F563:F565)</f>
        <v>99805.819999999992</v>
      </c>
      <c r="G566" s="89">
        <f t="shared" si="44"/>
        <v>49052.869999999995</v>
      </c>
      <c r="H566" s="89">
        <f t="shared" si="44"/>
        <v>2373.25</v>
      </c>
      <c r="I566" s="89">
        <f t="shared" si="44"/>
        <v>0</v>
      </c>
      <c r="J566" s="89">
        <f t="shared" si="44"/>
        <v>1384.18</v>
      </c>
      <c r="K566" s="89">
        <f t="shared" si="44"/>
        <v>0</v>
      </c>
      <c r="L566" s="89">
        <f t="shared" si="44"/>
        <v>152616.12</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f>81713</f>
        <v>81713</v>
      </c>
      <c r="G568" s="18">
        <f>48594.71</f>
        <v>48594.71</v>
      </c>
      <c r="H568" s="18"/>
      <c r="I568" s="18">
        <f>349.55</f>
        <v>349.55</v>
      </c>
      <c r="J568" s="18"/>
      <c r="K568" s="18">
        <f>866.5</f>
        <v>866.5</v>
      </c>
      <c r="L568" s="88">
        <f>SUM(F568:K568)</f>
        <v>131523.76</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81713</v>
      </c>
      <c r="G571" s="193">
        <f t="shared" ref="G571:L571" si="45">SUM(G568:G570)</f>
        <v>48594.71</v>
      </c>
      <c r="H571" s="193">
        <f t="shared" si="45"/>
        <v>0</v>
      </c>
      <c r="I571" s="193">
        <f t="shared" si="45"/>
        <v>349.55</v>
      </c>
      <c r="J571" s="193">
        <f t="shared" si="45"/>
        <v>0</v>
      </c>
      <c r="K571" s="193">
        <f t="shared" si="45"/>
        <v>866.5</v>
      </c>
      <c r="L571" s="193">
        <f t="shared" si="45"/>
        <v>131523.76</v>
      </c>
      <c r="M571" s="8"/>
      <c r="N571" s="266"/>
    </row>
    <row r="572" spans="1:14" s="3" customFormat="1" ht="12.2" customHeight="1" thickTop="1" x14ac:dyDescent="0.15">
      <c r="A572" s="98" t="s">
        <v>88</v>
      </c>
      <c r="B572" s="107">
        <v>22</v>
      </c>
      <c r="C572" s="107">
        <v>13</v>
      </c>
      <c r="D572" s="158" t="s">
        <v>432</v>
      </c>
      <c r="E572" s="107"/>
      <c r="F572" s="89">
        <f>F561+F566+F571</f>
        <v>413480.61</v>
      </c>
      <c r="G572" s="89">
        <f t="shared" ref="G572:L572" si="46">G561+G566+G571</f>
        <v>131071.13999999998</v>
      </c>
      <c r="H572" s="89">
        <f t="shared" si="46"/>
        <v>2503.2399999999998</v>
      </c>
      <c r="I572" s="89">
        <f t="shared" si="46"/>
        <v>16387.29</v>
      </c>
      <c r="J572" s="89">
        <f t="shared" si="46"/>
        <v>1384.18</v>
      </c>
      <c r="K572" s="89">
        <f t="shared" si="46"/>
        <v>866.5</v>
      </c>
      <c r="L572" s="89">
        <f t="shared" si="46"/>
        <v>565692.96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246160.38</f>
        <v>246160.38</v>
      </c>
      <c r="G583" s="18">
        <f>11179.93</f>
        <v>11179.93</v>
      </c>
      <c r="H583" s="18">
        <f>670335.1</f>
        <v>670335.1</v>
      </c>
      <c r="I583" s="87">
        <f t="shared" si="47"/>
        <v>927675.40999999992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f>16128.51</f>
        <v>16128.51</v>
      </c>
      <c r="I585" s="87">
        <f t="shared" si="47"/>
        <v>16128.51</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437105.26</f>
        <v>437105.26</v>
      </c>
      <c r="I592" s="18">
        <f>257579.88</f>
        <v>257579.88</v>
      </c>
      <c r="J592" s="18">
        <f>85859.96+0.01</f>
        <v>85859.97</v>
      </c>
      <c r="K592" s="104">
        <f t="shared" ref="K592:K598" si="48">SUM(H592:J592)</f>
        <v>780545.11</v>
      </c>
      <c r="L592" s="24" t="s">
        <v>288</v>
      </c>
      <c r="M592" s="8"/>
      <c r="N592" s="266"/>
    </row>
    <row r="593" spans="1:14" s="3" customFormat="1" ht="12.2" customHeight="1" x14ac:dyDescent="0.15">
      <c r="A593" s="3" t="s">
        <v>638</v>
      </c>
      <c r="B593" s="75">
        <v>23</v>
      </c>
      <c r="C593" s="75">
        <v>2</v>
      </c>
      <c r="D593" s="2" t="s">
        <v>432</v>
      </c>
      <c r="E593" s="75"/>
      <c r="F593" s="102">
        <v>2722</v>
      </c>
      <c r="G593" s="103" t="s">
        <v>97</v>
      </c>
      <c r="H593" s="18">
        <f>158974.15</f>
        <v>158974.15</v>
      </c>
      <c r="I593" s="18">
        <f>50038.67</f>
        <v>50038.67</v>
      </c>
      <c r="J593" s="18">
        <f>114463.53</f>
        <v>114463.53</v>
      </c>
      <c r="K593" s="104">
        <f t="shared" si="48"/>
        <v>323476.34999999998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5481.5</f>
        <v>5481.5</v>
      </c>
      <c r="K594" s="104">
        <f t="shared" si="48"/>
        <v>5481.5</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f>21574.8</f>
        <v>21574.799999999999</v>
      </c>
      <c r="J595" s="18">
        <f>66664.18</f>
        <v>66664.179999999993</v>
      </c>
      <c r="K595" s="104">
        <f t="shared" si="48"/>
        <v>88238.98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10899.56</v>
      </c>
      <c r="I598" s="18">
        <v>6422.96</v>
      </c>
      <c r="J598" s="18">
        <v>2140.98</v>
      </c>
      <c r="K598" s="104">
        <f t="shared" si="48"/>
        <v>19463.5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606978.97000000009</v>
      </c>
      <c r="I599" s="108">
        <f>SUM(I592:I598)</f>
        <v>335616.31</v>
      </c>
      <c r="J599" s="108">
        <f>SUM(J592:J598)</f>
        <v>274610.15999999997</v>
      </c>
      <c r="K599" s="108">
        <f>SUM(K592:K598)</f>
        <v>1217205.44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21824.23+33105.96</f>
        <v>54930.19</v>
      </c>
      <c r="I605" s="18">
        <f>45924.82+23768.38</f>
        <v>69693.2</v>
      </c>
      <c r="J605" s="18">
        <f>148215.05+28012.73</f>
        <v>176227.78</v>
      </c>
      <c r="K605" s="104">
        <f>SUM(H605:J605)</f>
        <v>300851.17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54930.19</v>
      </c>
      <c r="I606" s="108">
        <f>SUM(I603:I605)</f>
        <v>69693.2</v>
      </c>
      <c r="J606" s="108">
        <f>SUM(J603:J605)</f>
        <v>176227.78</v>
      </c>
      <c r="K606" s="108">
        <f>SUM(K603:K605)</f>
        <v>300851.17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4735+1695+6765+858.05+25643.83</f>
        <v>39696.880000000005</v>
      </c>
      <c r="G612" s="18">
        <f>1302</f>
        <v>1302</v>
      </c>
      <c r="H612" s="18"/>
      <c r="I612" s="18">
        <f>218.4+283.49+12996.1</f>
        <v>13497.99</v>
      </c>
      <c r="J612" s="18"/>
      <c r="K612" s="18"/>
      <c r="L612" s="88">
        <f>SUM(F612:K612)</f>
        <v>54496.87</v>
      </c>
      <c r="M612" s="8"/>
      <c r="N612" s="266"/>
    </row>
    <row r="613" spans="1:14" s="3" customFormat="1" ht="12.2" customHeight="1" x14ac:dyDescent="0.15">
      <c r="A613" s="22" t="s">
        <v>634</v>
      </c>
      <c r="B613" s="75">
        <v>23</v>
      </c>
      <c r="C613" s="75">
        <v>14</v>
      </c>
      <c r="D613" s="2" t="s">
        <v>432</v>
      </c>
      <c r="E613" s="75"/>
      <c r="F613" s="18">
        <f>3480+16526.02</f>
        <v>20006.02</v>
      </c>
      <c r="G613" s="18"/>
      <c r="H613" s="18"/>
      <c r="I613" s="18"/>
      <c r="J613" s="18"/>
      <c r="K613" s="18"/>
      <c r="L613" s="88">
        <f>SUM(F613:K613)</f>
        <v>20006.02</v>
      </c>
      <c r="M613" s="8"/>
      <c r="N613" s="266"/>
    </row>
    <row r="614" spans="1:14" s="3" customFormat="1" ht="12.2" customHeight="1" thickBot="1" x14ac:dyDescent="0.2">
      <c r="A614" s="22" t="s">
        <v>645</v>
      </c>
      <c r="B614" s="75">
        <v>23</v>
      </c>
      <c r="C614" s="75">
        <v>15</v>
      </c>
      <c r="D614" s="2" t="s">
        <v>432</v>
      </c>
      <c r="E614" s="75"/>
      <c r="F614" s="18">
        <f>1800+14816.42</f>
        <v>16616.419999999998</v>
      </c>
      <c r="G614" s="18"/>
      <c r="H614" s="18"/>
      <c r="I614" s="18"/>
      <c r="J614" s="18"/>
      <c r="K614" s="18"/>
      <c r="L614" s="88">
        <f>SUM(F614:K614)</f>
        <v>16616.419999999998</v>
      </c>
      <c r="M614" s="8"/>
      <c r="N614" s="266"/>
    </row>
    <row r="615" spans="1:14" s="3" customFormat="1" ht="12.2" customHeight="1" thickTop="1" x14ac:dyDescent="0.15">
      <c r="A615" s="98" t="s">
        <v>340</v>
      </c>
      <c r="B615" s="107">
        <v>23</v>
      </c>
      <c r="C615" s="107">
        <v>16</v>
      </c>
      <c r="D615" s="39" t="s">
        <v>432</v>
      </c>
      <c r="E615" s="107"/>
      <c r="F615" s="108">
        <f t="shared" ref="F615:L615" si="49">SUM(F612:F614)</f>
        <v>76319.320000000007</v>
      </c>
      <c r="G615" s="108">
        <f t="shared" si="49"/>
        <v>1302</v>
      </c>
      <c r="H615" s="108">
        <f t="shared" si="49"/>
        <v>0</v>
      </c>
      <c r="I615" s="108">
        <f t="shared" si="49"/>
        <v>13497.99</v>
      </c>
      <c r="J615" s="108">
        <f t="shared" si="49"/>
        <v>0</v>
      </c>
      <c r="K615" s="108">
        <f t="shared" si="49"/>
        <v>0</v>
      </c>
      <c r="L615" s="89">
        <f t="shared" si="49"/>
        <v>91119.31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1458349.6899999997</v>
      </c>
      <c r="H618" s="109">
        <f>SUM(F52)</f>
        <v>1458349.69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70389.51999999999</v>
      </c>
      <c r="H619" s="109">
        <f>SUM(G52)</f>
        <v>70389.52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527120.41</v>
      </c>
      <c r="H620" s="109">
        <f>SUM(H52)</f>
        <v>527120.41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5040526.25</v>
      </c>
      <c r="H622" s="109">
        <f>SUM(J52)</f>
        <v>5040526.25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1114617.69</v>
      </c>
      <c r="H623" s="109">
        <f>F477</f>
        <v>1114617.6900000051</v>
      </c>
      <c r="I623" s="121" t="s">
        <v>101</v>
      </c>
      <c r="J623" s="109">
        <f t="shared" ref="J623:J656" si="50">G623-H623</f>
        <v>-5.1222741603851318E-9</v>
      </c>
      <c r="K623" s="109"/>
      <c r="L623" s="109"/>
      <c r="M623" s="8"/>
    </row>
    <row r="624" spans="1:14" s="3" customFormat="1" ht="12.2" customHeight="1" x14ac:dyDescent="0.15">
      <c r="A624" s="97"/>
      <c r="B624" s="105"/>
      <c r="C624" s="119"/>
      <c r="D624" s="119"/>
      <c r="E624" s="119"/>
      <c r="F624" s="119" t="s">
        <v>866</v>
      </c>
      <c r="G624" s="109">
        <f>G51</f>
        <v>31179.16</v>
      </c>
      <c r="H624" s="109">
        <f>G477</f>
        <v>31179.160000000033</v>
      </c>
      <c r="I624" s="121" t="s">
        <v>102</v>
      </c>
      <c r="J624" s="109">
        <f t="shared" si="50"/>
        <v>-3.2741809263825417E-11</v>
      </c>
      <c r="K624" s="109"/>
      <c r="L624" s="109"/>
      <c r="M624" s="8"/>
    </row>
    <row r="625" spans="1:13" s="3" customFormat="1" ht="12.2" customHeight="1" x14ac:dyDescent="0.15">
      <c r="A625" s="97"/>
      <c r="B625" s="105"/>
      <c r="C625" s="105"/>
      <c r="D625" s="105"/>
      <c r="E625" s="105"/>
      <c r="F625" s="120" t="s">
        <v>867</v>
      </c>
      <c r="G625" s="109">
        <f>H51</f>
        <v>342538.60000000003</v>
      </c>
      <c r="H625" s="109">
        <f>H477</f>
        <v>342538.60000000009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5040526.25</v>
      </c>
      <c r="H627" s="109">
        <f>J477</f>
        <v>5040526.25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40347386.829999998</v>
      </c>
      <c r="H628" s="104">
        <f>SUM(F469)</f>
        <v>40347386.830000006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514137.09</v>
      </c>
      <c r="H629" s="104">
        <f>SUM(G469)</f>
        <v>514137.09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1246977.2899999998</v>
      </c>
      <c r="H630" s="104">
        <f>SUM(H469)</f>
        <v>1246977.29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16104.17</v>
      </c>
      <c r="H631" s="104">
        <f>SUM(I469)</f>
        <v>16104.17</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137526.12</v>
      </c>
      <c r="H632" s="104">
        <f>SUM(J469)</f>
        <v>137526.12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40065359.45000001</v>
      </c>
      <c r="H633" s="104">
        <f>SUM(F473)</f>
        <v>40065359.450000003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1218487.25</v>
      </c>
      <c r="H634" s="104">
        <f>SUM(H473)</f>
        <v>1218487.25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226810.21000000002</v>
      </c>
      <c r="H635" s="104">
        <f>I370</f>
        <v>226810.21000000002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583161.57000000007</v>
      </c>
      <c r="H636" s="104">
        <f>SUM(G473)</f>
        <v>583161.56999999995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256891.61</v>
      </c>
      <c r="H637" s="104">
        <f>SUM(I473)</f>
        <v>256891.61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137526.12</v>
      </c>
      <c r="H638" s="164">
        <f>SUM(J469)</f>
        <v>137526.12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35000</v>
      </c>
      <c r="H639" s="164">
        <f>SUM(J473)</f>
        <v>35000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1181348.04</v>
      </c>
      <c r="H641" s="104">
        <f>SUM(G462)</f>
        <v>1181348.04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3859178.21</v>
      </c>
      <c r="H642" s="104">
        <f>SUM(H462)</f>
        <v>3859178.21</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5040526.25</v>
      </c>
      <c r="H643" s="104">
        <f>SUM(I462)</f>
        <v>5040526.25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137526.12</v>
      </c>
      <c r="H645" s="104">
        <f>H409</f>
        <v>137526.12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137526.12</v>
      </c>
      <c r="H647" s="104">
        <f>L409</f>
        <v>137526.12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1217205.44</v>
      </c>
      <c r="H648" s="104">
        <f>L209+L227+L245</f>
        <v>1217205.44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300851.17</v>
      </c>
      <c r="H649" s="104">
        <f>(J258+J339)-(J256+J337)</f>
        <v>300851.17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606978.97</v>
      </c>
      <c r="H650" s="104">
        <f>H599</f>
        <v>606978.97000000009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335616.31000000006</v>
      </c>
      <c r="H651" s="104">
        <f>I599</f>
        <v>335616.31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274610.15999999997</v>
      </c>
      <c r="H652" s="104">
        <f>J599</f>
        <v>274610.15999999997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5810</v>
      </c>
      <c r="H653" s="104">
        <f>K264+K346</f>
        <v>5810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16271540.680000003</v>
      </c>
      <c r="G661" s="19">
        <f>(L230+L310+L360)</f>
        <v>9514864.450000003</v>
      </c>
      <c r="H661" s="19">
        <f>(L248+L329+L361)</f>
        <v>14653708.150000002</v>
      </c>
      <c r="I661" s="19">
        <f>SUM(F661:H661)</f>
        <v>40440113.280000009</v>
      </c>
      <c r="J661" s="13"/>
      <c r="K661" s="13"/>
      <c r="L661" s="13"/>
      <c r="M661" s="9"/>
    </row>
    <row r="662" spans="1:13" s="3" customFormat="1" ht="12.2" customHeight="1" x14ac:dyDescent="0.2">
      <c r="A662" s="1" t="s">
        <v>127</v>
      </c>
      <c r="F662" s="19">
        <f>(L359/IF(SUM(L359:L361)=0,1,SUM(L359:L361))*(SUM(G97:G110)))</f>
        <v>104639.97422790858</v>
      </c>
      <c r="G662" s="19">
        <f>(L360/IF(SUM(L359:L361)=0,1,SUM(L359:L361))*(SUM(G97:G110)))</f>
        <v>67105.235810398983</v>
      </c>
      <c r="H662" s="19">
        <f>(L361/IF(SUM(L359:L361)=0,1,SUM(L359:L361))*(SUM(G97:G110)))</f>
        <v>130176.41996169243</v>
      </c>
      <c r="I662" s="19">
        <f>SUM(F662:H662)</f>
        <v>301921.63</v>
      </c>
      <c r="J662"/>
      <c r="K662" s="13"/>
      <c r="L662" s="13"/>
      <c r="M662" s="8"/>
    </row>
    <row r="663" spans="1:13" s="3" customFormat="1" ht="12.2" customHeight="1" x14ac:dyDescent="0.2">
      <c r="A663" s="1" t="s">
        <v>128</v>
      </c>
      <c r="F663" s="19">
        <f>(L209+L288)-(J209+J288)</f>
        <v>609970.94999999995</v>
      </c>
      <c r="G663" s="19">
        <f>(L227+L307)-(J227+J307)</f>
        <v>339237.31000000006</v>
      </c>
      <c r="H663" s="19">
        <f>(L245+L326)-(J245+J326)</f>
        <v>279227.36</v>
      </c>
      <c r="I663" s="19">
        <f>SUM(F663:H663)</f>
        <v>1228435.6200000001</v>
      </c>
      <c r="J663"/>
      <c r="K663" s="13"/>
      <c r="L663" s="13"/>
      <c r="M663" s="9"/>
    </row>
    <row r="664" spans="1:13" s="3" customFormat="1" ht="12.2" customHeight="1" x14ac:dyDescent="0.15">
      <c r="A664" s="198" t="s">
        <v>129</v>
      </c>
      <c r="B664" s="169"/>
      <c r="C664" s="169"/>
      <c r="D664" s="169"/>
      <c r="E664" s="169"/>
      <c r="F664" s="199">
        <f>SUM(F576:F588)+SUM(H603:H605)+SUM(L612)</f>
        <v>355587.44</v>
      </c>
      <c r="G664" s="199">
        <f>SUM(G576:G588)+SUM(I603:I605)+L613</f>
        <v>100879.15000000001</v>
      </c>
      <c r="H664" s="199">
        <f>SUM(H576:H588)+SUM(J603:J605)+L614</f>
        <v>879307.81</v>
      </c>
      <c r="I664" s="19">
        <f>SUM(F664:H664)</f>
        <v>1335774.4000000001</v>
      </c>
      <c r="J664" s="13"/>
      <c r="K664" s="13"/>
      <c r="L664" s="13"/>
      <c r="M664" s="9"/>
    </row>
    <row r="665" spans="1:13" s="3" customFormat="1" ht="12.2" customHeight="1" x14ac:dyDescent="0.15">
      <c r="A665" s="1" t="s">
        <v>130</v>
      </c>
      <c r="F665" s="19">
        <f>F661-SUM(F662:F664)</f>
        <v>15201342.315772096</v>
      </c>
      <c r="G665" s="19">
        <f>G661-SUM(G662:G664)</f>
        <v>9007642.754189603</v>
      </c>
      <c r="H665" s="19">
        <f>H661-SUM(H662:H664)</f>
        <v>13364996.56003831</v>
      </c>
      <c r="I665" s="19">
        <f>I661-SUM(I662:I664)</f>
        <v>37573981.63000001</v>
      </c>
      <c r="J665" s="13"/>
      <c r="K665" s="13"/>
      <c r="L665" s="13"/>
      <c r="M665" s="8"/>
    </row>
    <row r="666" spans="1:13" s="3" customFormat="1" ht="12.2" customHeight="1" x14ac:dyDescent="0.2">
      <c r="A666" s="1" t="s">
        <v>131</v>
      </c>
      <c r="F666" s="246">
        <f>19.29+149.53+759.24</f>
        <v>928.06</v>
      </c>
      <c r="G666" s="247">
        <v>544.38</v>
      </c>
      <c r="H666" s="247">
        <v>806.92</v>
      </c>
      <c r="I666" s="19">
        <f>SUM(F666:H666)</f>
        <v>2279.36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16379.7</v>
      </c>
      <c r="G668" s="19">
        <f>ROUND(G665/G666,2)</f>
        <v>16546.61</v>
      </c>
      <c r="H668" s="19">
        <f>ROUND(H665/H666,2)</f>
        <v>16562.98</v>
      </c>
      <c r="I668" s="19">
        <f>ROUND(I665/I666,2)</f>
        <v>16484.439999999999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2.12</v>
      </c>
      <c r="I671" s="19">
        <f>SUM(F671:H671)</f>
        <v>2.12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16379.7</v>
      </c>
      <c r="G673" s="19">
        <f>ROUND((G665+G670)/(G666+G671),2)</f>
        <v>16546.61</v>
      </c>
      <c r="H673" s="19">
        <f>ROUND((H665+H670)/(H666+H671),2)</f>
        <v>16519.57</v>
      </c>
      <c r="I673" s="19">
        <f>ROUND((I665+I670)/(I666+I671),2)</f>
        <v>16469.13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MILFORD SCHOOL DISTRICT SAU 40</v>
      </c>
      <c r="C5" s="344"/>
      <c r="D5" s="344"/>
      <c r="E5" s="344"/>
      <c r="F5" s="344"/>
    </row>
    <row r="8" spans="1:9" ht="18" x14ac:dyDescent="0.25">
      <c r="A8" s="323" t="s">
        <v>1591</v>
      </c>
      <c r="F8" s="330" t="s">
        <v>1609</v>
      </c>
    </row>
    <row r="9" spans="1:9" ht="15" x14ac:dyDescent="0.2">
      <c r="A9" s="321" t="s">
        <v>1592</v>
      </c>
      <c r="B9" s="324">
        <f>'DOE25'!G97</f>
        <v>301921.63</v>
      </c>
      <c r="F9" s="321" t="s">
        <v>1605</v>
      </c>
    </row>
    <row r="10" spans="1:9" ht="15" x14ac:dyDescent="0.2">
      <c r="A10" s="321" t="s">
        <v>1593</v>
      </c>
      <c r="B10" s="324">
        <f>'DOE25'!G112-'DOE25'!G97</f>
        <v>0</v>
      </c>
      <c r="F10" s="321" t="s">
        <v>1606</v>
      </c>
    </row>
    <row r="11" spans="1:9" ht="15" x14ac:dyDescent="0.2">
      <c r="A11" s="321" t="s">
        <v>1594</v>
      </c>
      <c r="B11" s="324">
        <f>'DOE25'!G140</f>
        <v>10293.27</v>
      </c>
      <c r="F11" s="321" t="s">
        <v>1607</v>
      </c>
    </row>
    <row r="12" spans="1:9" ht="15" x14ac:dyDescent="0.2">
      <c r="A12" s="321" t="s">
        <v>1595</v>
      </c>
      <c r="B12" s="324">
        <f>'DOE25'!G170</f>
        <v>196112.19</v>
      </c>
      <c r="F12" s="321" t="s">
        <v>1608</v>
      </c>
    </row>
    <row r="13" spans="1:9" ht="15" x14ac:dyDescent="0.2">
      <c r="A13" s="321" t="s">
        <v>1596</v>
      </c>
      <c r="B13" s="324">
        <f>'DOE25'!G193-'DOE25'!G180</f>
        <v>0</v>
      </c>
      <c r="F13" s="321" t="s">
        <v>1618</v>
      </c>
    </row>
    <row r="14" spans="1:9" ht="18" x14ac:dyDescent="0.25">
      <c r="A14" s="323" t="s">
        <v>732</v>
      </c>
      <c r="B14" s="325">
        <f>SUM(B9:B13)</f>
        <v>508327.09</v>
      </c>
    </row>
    <row r="16" spans="1:9" ht="18" x14ac:dyDescent="0.25">
      <c r="A16" s="323" t="s">
        <v>786</v>
      </c>
      <c r="F16" s="330" t="s">
        <v>1610</v>
      </c>
    </row>
    <row r="17" spans="1:6" ht="15" x14ac:dyDescent="0.2">
      <c r="A17" s="321" t="s">
        <v>1597</v>
      </c>
      <c r="B17" s="324">
        <f>'DOE25'!L363-'DOE25'!L362</f>
        <v>583161.57000000007</v>
      </c>
      <c r="F17" s="321" t="s">
        <v>1611</v>
      </c>
    </row>
    <row r="18" spans="1:6" ht="15" x14ac:dyDescent="0.2">
      <c r="A18" s="321" t="s">
        <v>1598</v>
      </c>
      <c r="B18" s="338">
        <v>0</v>
      </c>
      <c r="F18" s="330" t="s">
        <v>1637</v>
      </c>
    </row>
    <row r="19" spans="1:6" ht="18" x14ac:dyDescent="0.25">
      <c r="A19" s="323" t="s">
        <v>725</v>
      </c>
      <c r="B19" s="325">
        <f>SUM(B17:B18)</f>
        <v>583161.57000000007</v>
      </c>
    </row>
    <row r="21" spans="1:6" ht="18.75" thickBot="1" x14ac:dyDescent="0.3">
      <c r="A21" s="323" t="s">
        <v>1599</v>
      </c>
    </row>
    <row r="22" spans="1:6" ht="18.75" thickTop="1" x14ac:dyDescent="0.25">
      <c r="A22" s="323" t="s">
        <v>1600</v>
      </c>
      <c r="B22" s="329">
        <f>B14-B19</f>
        <v>-74834.48000000004</v>
      </c>
      <c r="F22" s="321" t="s">
        <v>1612</v>
      </c>
    </row>
    <row r="26" spans="1:6" ht="18" x14ac:dyDescent="0.25">
      <c r="A26" s="323" t="s">
        <v>186</v>
      </c>
    </row>
    <row r="27" spans="1:6" ht="15" x14ac:dyDescent="0.2">
      <c r="A27" s="321" t="s">
        <v>1601</v>
      </c>
      <c r="B27" s="324">
        <f>'DOE25'!G180</f>
        <v>5810</v>
      </c>
      <c r="F27" s="321" t="s">
        <v>1613</v>
      </c>
    </row>
    <row r="28" spans="1:6" ht="15" x14ac:dyDescent="0.2">
      <c r="A28" s="321" t="s">
        <v>1603</v>
      </c>
      <c r="B28" s="324">
        <f>'DOE25'!L362</f>
        <v>0</v>
      </c>
      <c r="F28" s="321" t="s">
        <v>1614</v>
      </c>
    </row>
    <row r="31" spans="1:6" ht="15" x14ac:dyDescent="0.2">
      <c r="A31" s="321" t="s">
        <v>1640</v>
      </c>
      <c r="B31" s="324">
        <f>'DOE25'!G466</f>
        <v>100203.64</v>
      </c>
      <c r="F31" s="321" t="s">
        <v>1615</v>
      </c>
    </row>
    <row r="33" spans="1:6" ht="15" x14ac:dyDescent="0.2">
      <c r="A33" s="321" t="s">
        <v>1641</v>
      </c>
      <c r="B33" s="324">
        <f>'DOE25'!G477</f>
        <v>31179.160000000033</v>
      </c>
      <c r="F33" s="321" t="s">
        <v>1616</v>
      </c>
    </row>
    <row r="36" spans="1:6" ht="15" x14ac:dyDescent="0.2">
      <c r="A36" s="321" t="s">
        <v>1602</v>
      </c>
      <c r="B36" s="339">
        <v>37578.61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MILFORD SCHOOL DISTRICT SAU 40</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9828844.6899999995</v>
      </c>
      <c r="C9" s="229">
        <f>'DOE25'!G198+'DOE25'!G216+'DOE25'!G234+'DOE25'!G277+'DOE25'!G296+'DOE25'!G315</f>
        <v>5855441.3600000003</v>
      </c>
    </row>
    <row r="10" spans="1:3" x14ac:dyDescent="0.2">
      <c r="A10" t="s">
        <v>775</v>
      </c>
      <c r="B10" s="240">
        <v>9291474.7200000007</v>
      </c>
      <c r="C10" s="240">
        <v>5535308.2699999996</v>
      </c>
    </row>
    <row r="11" spans="1:3" x14ac:dyDescent="0.2">
      <c r="A11" t="s">
        <v>776</v>
      </c>
      <c r="B11" s="240">
        <v>375778.05</v>
      </c>
      <c r="C11" s="240">
        <v>223866.22</v>
      </c>
    </row>
    <row r="12" spans="1:3" x14ac:dyDescent="0.2">
      <c r="A12" t="s">
        <v>777</v>
      </c>
      <c r="B12" s="240">
        <v>161591.92000000001</v>
      </c>
      <c r="C12" s="240">
        <v>96266.87</v>
      </c>
    </row>
    <row r="13" spans="1:3" x14ac:dyDescent="0.2">
      <c r="A13" t="str">
        <f>IF(B9=B13,IF(C9=C13,"Check Total OK","Check Total Error"),"Check Total Error")</f>
        <v>Check Total OK</v>
      </c>
      <c r="B13" s="231">
        <f>SUM(B10:B12)</f>
        <v>9828844.6900000013</v>
      </c>
      <c r="C13" s="231">
        <f>SUM(C10:C12)</f>
        <v>5855441.3599999994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3899909.6399999997</v>
      </c>
      <c r="C18" s="229">
        <f>'DOE25'!G199+'DOE25'!G217+'DOE25'!G235+'DOE25'!G278+'DOE25'!G297+'DOE25'!G316</f>
        <v>2124482.3199999998</v>
      </c>
    </row>
    <row r="19" spans="1:3" x14ac:dyDescent="0.2">
      <c r="A19" t="s">
        <v>775</v>
      </c>
      <c r="B19" s="240">
        <f>2094990.42-0.01</f>
        <v>2094990.41</v>
      </c>
      <c r="C19" s="240">
        <v>1141249.54</v>
      </c>
    </row>
    <row r="20" spans="1:3" x14ac:dyDescent="0.2">
      <c r="A20" t="s">
        <v>776</v>
      </c>
      <c r="B20" s="240">
        <v>1749346.64</v>
      </c>
      <c r="C20" s="240">
        <v>952959.51</v>
      </c>
    </row>
    <row r="21" spans="1:3" x14ac:dyDescent="0.2">
      <c r="A21" t="s">
        <v>777</v>
      </c>
      <c r="B21" s="240">
        <v>55572.59</v>
      </c>
      <c r="C21" s="240">
        <v>30273.27</v>
      </c>
    </row>
    <row r="22" spans="1:3" x14ac:dyDescent="0.2">
      <c r="A22" t="str">
        <f>IF(B18=B22,IF(C18=C22,"Check Total OK","Check Total Error"),"Check Total Error")</f>
        <v>Check Total OK</v>
      </c>
      <c r="B22" s="231">
        <f>SUM(B19:B21)</f>
        <v>3899909.6399999997</v>
      </c>
      <c r="C22" s="231">
        <f>SUM(C19:C21)</f>
        <v>2124482.3199999998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791744</v>
      </c>
      <c r="C27" s="234">
        <f>'DOE25'!G200+'DOE25'!G218+'DOE25'!G236+'DOE25'!G279+'DOE25'!G298+'DOE25'!G317</f>
        <v>414192.05</v>
      </c>
    </row>
    <row r="28" spans="1:3" x14ac:dyDescent="0.2">
      <c r="A28" t="s">
        <v>775</v>
      </c>
      <c r="B28" s="240">
        <v>791744</v>
      </c>
      <c r="C28" s="240">
        <v>414192.05</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791744</v>
      </c>
      <c r="C31" s="231">
        <f>SUM(C28:C30)</f>
        <v>414192.05</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198611.03</v>
      </c>
      <c r="C36" s="235">
        <f>'DOE25'!G201+'DOE25'!G219+'DOE25'!G237+'DOE25'!G280+'DOE25'!G299+'DOE25'!G318</f>
        <v>26946.21</v>
      </c>
    </row>
    <row r="37" spans="1:3" x14ac:dyDescent="0.2">
      <c r="A37" t="s">
        <v>775</v>
      </c>
      <c r="B37" s="240">
        <v>193876.03</v>
      </c>
      <c r="C37" s="240">
        <v>26303.8</v>
      </c>
    </row>
    <row r="38" spans="1:3" x14ac:dyDescent="0.2">
      <c r="A38" t="s">
        <v>776</v>
      </c>
      <c r="B38" s="240">
        <v>4735</v>
      </c>
      <c r="C38" s="240">
        <v>642.41</v>
      </c>
    </row>
    <row r="39" spans="1:3" x14ac:dyDescent="0.2">
      <c r="A39" t="s">
        <v>777</v>
      </c>
      <c r="B39" s="240"/>
      <c r="C39" s="240"/>
    </row>
    <row r="40" spans="1:3" x14ac:dyDescent="0.2">
      <c r="A40" t="str">
        <f>IF(B36=B40,IF(C36=C40,"Check Total OK","Check Total Error"),"Check Total Error")</f>
        <v>Check Total OK</v>
      </c>
      <c r="B40" s="231">
        <f>SUM(B37:B39)</f>
        <v>198611.03</v>
      </c>
      <c r="C40" s="231">
        <f>SUM(C37:C39)</f>
        <v>26946.21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MILFORD SCHOOL DISTRICT SAU 40</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24079149.390000001</v>
      </c>
      <c r="D5" s="20">
        <f>SUM('DOE25'!L198:L201)+SUM('DOE25'!L216:L219)+SUM('DOE25'!L234:L237)-F5-G5-H5</f>
        <v>23862541.380000003</v>
      </c>
      <c r="E5" s="243"/>
      <c r="F5" s="244"/>
      <c r="G5" s="53">
        <f>SUM('DOE25'!J198:J201)+SUM('DOE25'!J216:J219)+SUM('DOE25'!J234:J237)</f>
        <v>184708.77</v>
      </c>
      <c r="H5" s="53">
        <f>SUM('DOE25'!K198:K201)+SUM('DOE25'!K216:K219)+SUM('DOE25'!K234:K237)</f>
        <v>31899.239999999998</v>
      </c>
      <c r="I5" s="256"/>
    </row>
    <row r="6" spans="1:9" x14ac:dyDescent="0.2">
      <c r="A6" s="32">
        <v>2100</v>
      </c>
      <c r="B6" t="s">
        <v>796</v>
      </c>
      <c r="C6" s="276">
        <f t="shared" si="0"/>
        <v>3709160.6100000003</v>
      </c>
      <c r="D6" s="20">
        <f>'DOE25'!L203+'DOE25'!L221+'DOE25'!L239-F6-G6-H6</f>
        <v>3654438.4800000004</v>
      </c>
      <c r="E6" s="243"/>
      <c r="F6" s="244">
        <f>50121</f>
        <v>50121</v>
      </c>
      <c r="G6" s="53">
        <f>'DOE25'!J203+'DOE25'!J221+'DOE25'!J239</f>
        <v>3807.13</v>
      </c>
      <c r="H6" s="53">
        <f>'DOE25'!K203+'DOE25'!K221+'DOE25'!K239</f>
        <v>794</v>
      </c>
      <c r="I6" s="256"/>
    </row>
    <row r="7" spans="1:9" x14ac:dyDescent="0.2">
      <c r="A7" s="32">
        <v>2200</v>
      </c>
      <c r="B7" t="s">
        <v>821</v>
      </c>
      <c r="C7" s="276">
        <f t="shared" si="0"/>
        <v>819078.78</v>
      </c>
      <c r="D7" s="20">
        <f>'DOE25'!L204+'DOE25'!L222+'DOE25'!L240-F7-G7-H7</f>
        <v>816135.69000000006</v>
      </c>
      <c r="E7" s="243"/>
      <c r="F7" s="244"/>
      <c r="G7" s="53">
        <f>'DOE25'!J204+'DOE25'!J222+'DOE25'!J240</f>
        <v>2943.09</v>
      </c>
      <c r="H7" s="53">
        <f>'DOE25'!K204+'DOE25'!K222+'DOE25'!K240</f>
        <v>0</v>
      </c>
      <c r="I7" s="256"/>
    </row>
    <row r="8" spans="1:9" x14ac:dyDescent="0.2">
      <c r="A8" s="32">
        <v>2300</v>
      </c>
      <c r="B8" t="s">
        <v>797</v>
      </c>
      <c r="C8" s="276">
        <f t="shared" si="0"/>
        <v>1933191.4999999998</v>
      </c>
      <c r="D8" s="243"/>
      <c r="E8" s="20">
        <f>'DOE25'!L205+'DOE25'!L223+'DOE25'!L241-F8-G8-H8-D9-D11</f>
        <v>1913959.0899999999</v>
      </c>
      <c r="F8" s="244"/>
      <c r="G8" s="53">
        <f>'DOE25'!J205+'DOE25'!J223+'DOE25'!J241</f>
        <v>2833.67</v>
      </c>
      <c r="H8" s="53">
        <f>'DOE25'!K205+'DOE25'!K223+'DOE25'!K241</f>
        <v>16398.739999999998</v>
      </c>
      <c r="I8" s="256"/>
    </row>
    <row r="9" spans="1:9" ht="14.25" x14ac:dyDescent="0.2">
      <c r="A9" s="32">
        <v>2310</v>
      </c>
      <c r="B9" s="185" t="s">
        <v>890</v>
      </c>
      <c r="C9" s="276">
        <f t="shared" si="0"/>
        <v>272042.59999999998</v>
      </c>
      <c r="D9" s="244">
        <v>272042.59999999998</v>
      </c>
      <c r="E9" s="243"/>
      <c r="F9" s="253"/>
      <c r="G9" s="253"/>
      <c r="H9" s="253"/>
      <c r="I9" s="256"/>
    </row>
    <row r="10" spans="1:9" ht="14.25" x14ac:dyDescent="0.2">
      <c r="A10" s="32">
        <v>2317</v>
      </c>
      <c r="B10" s="185" t="s">
        <v>891</v>
      </c>
      <c r="C10" s="276">
        <f t="shared" si="0"/>
        <v>13500</v>
      </c>
      <c r="D10" s="243"/>
      <c r="E10" s="244">
        <v>13500</v>
      </c>
      <c r="F10" s="253"/>
      <c r="G10" s="253"/>
      <c r="H10" s="253"/>
      <c r="I10" s="256"/>
    </row>
    <row r="11" spans="1:9" ht="14.25" x14ac:dyDescent="0.2">
      <c r="A11" s="32">
        <v>2321</v>
      </c>
      <c r="B11" s="185" t="s">
        <v>892</v>
      </c>
      <c r="C11" s="276">
        <f t="shared" si="0"/>
        <v>433780.5</v>
      </c>
      <c r="D11" s="244">
        <v>433780.5</v>
      </c>
      <c r="E11" s="243"/>
      <c r="F11" s="253"/>
      <c r="G11" s="253"/>
      <c r="H11" s="253"/>
      <c r="I11" s="256"/>
    </row>
    <row r="12" spans="1:9" x14ac:dyDescent="0.2">
      <c r="A12" s="32">
        <v>2400</v>
      </c>
      <c r="B12" t="s">
        <v>711</v>
      </c>
      <c r="C12" s="276">
        <f t="shared" si="0"/>
        <v>2096360.6400000001</v>
      </c>
      <c r="D12" s="20">
        <f>'DOE25'!L206+'DOE25'!L224+'DOE25'!L242-F12-G12-H12</f>
        <v>2068753.4900000002</v>
      </c>
      <c r="E12" s="243"/>
      <c r="F12" s="244"/>
      <c r="G12" s="53">
        <f>'DOE25'!J206+'DOE25'!J224+'DOE25'!J242</f>
        <v>227.94</v>
      </c>
      <c r="H12" s="53">
        <f>'DOE25'!K206+'DOE25'!K224+'DOE25'!K242</f>
        <v>27379.21</v>
      </c>
      <c r="I12" s="256"/>
    </row>
    <row r="13" spans="1:9" x14ac:dyDescent="0.2">
      <c r="A13" s="32">
        <v>2500</v>
      </c>
      <c r="B13" t="s">
        <v>798</v>
      </c>
      <c r="C13" s="276">
        <f t="shared" si="0"/>
        <v>1198.26</v>
      </c>
      <c r="D13" s="243"/>
      <c r="E13" s="20">
        <f>'DOE25'!L207+'DOE25'!L225+'DOE25'!L243-F13-G13-H13</f>
        <v>514.47</v>
      </c>
      <c r="F13" s="244"/>
      <c r="G13" s="53">
        <f>'DOE25'!J207+'DOE25'!J225+'DOE25'!J243</f>
        <v>0</v>
      </c>
      <c r="H13" s="53">
        <f>'DOE25'!K207+'DOE25'!K225+'DOE25'!K243</f>
        <v>683.79</v>
      </c>
      <c r="I13" s="256"/>
    </row>
    <row r="14" spans="1:9" x14ac:dyDescent="0.2">
      <c r="A14" s="32">
        <v>2600</v>
      </c>
      <c r="B14" t="s">
        <v>819</v>
      </c>
      <c r="C14" s="276">
        <f t="shared" si="0"/>
        <v>2849113.57</v>
      </c>
      <c r="D14" s="20">
        <f>'DOE25'!L208+'DOE25'!L226+'DOE25'!L244-F14-G14-H14</f>
        <v>2711794.09</v>
      </c>
      <c r="E14" s="243"/>
      <c r="F14" s="244">
        <f>16120+88205</f>
        <v>104325</v>
      </c>
      <c r="G14" s="53">
        <f>'DOE25'!J208+'DOE25'!J226+'DOE25'!J244</f>
        <v>32994.480000000003</v>
      </c>
      <c r="H14" s="53">
        <f>'DOE25'!K208+'DOE25'!K226+'DOE25'!K244</f>
        <v>0</v>
      </c>
      <c r="I14" s="256"/>
    </row>
    <row r="15" spans="1:9" x14ac:dyDescent="0.2">
      <c r="A15" s="32">
        <v>2700</v>
      </c>
      <c r="B15" t="s">
        <v>799</v>
      </c>
      <c r="C15" s="276">
        <f t="shared" si="0"/>
        <v>1217205.44</v>
      </c>
      <c r="D15" s="20">
        <f>'DOE25'!L209+'DOE25'!L227+'DOE25'!L245-F15-G15-H15</f>
        <v>74946.439999999944</v>
      </c>
      <c r="E15" s="243"/>
      <c r="F15" s="244">
        <f>1142259</f>
        <v>1142259</v>
      </c>
      <c r="G15" s="53">
        <f>'DOE25'!J209+'DOE25'!J227+'DOE25'!J245</f>
        <v>0</v>
      </c>
      <c r="H15" s="53">
        <f>'DOE25'!K209+'DOE25'!K227+'DOE25'!K245</f>
        <v>0</v>
      </c>
      <c r="I15" s="256"/>
    </row>
    <row r="16" spans="1:9" x14ac:dyDescent="0.2">
      <c r="A16" s="32">
        <v>2800</v>
      </c>
      <c r="B16" t="s">
        <v>800</v>
      </c>
      <c r="C16" s="276">
        <f t="shared" si="0"/>
        <v>1228183.17</v>
      </c>
      <c r="D16" s="243"/>
      <c r="E16" s="20">
        <f>'DOE25'!L210+'DOE25'!L228+'DOE25'!L246-F16-G16-H16</f>
        <v>1168099.1299999999</v>
      </c>
      <c r="F16" s="244">
        <f>17103</f>
        <v>17103</v>
      </c>
      <c r="G16" s="53">
        <f>'DOE25'!J210+'DOE25'!J228+'DOE25'!J246</f>
        <v>42981.04</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1421084.99</v>
      </c>
      <c r="D25" s="243"/>
      <c r="E25" s="243"/>
      <c r="F25" s="255"/>
      <c r="G25" s="253"/>
      <c r="H25" s="253"/>
      <c r="I25" s="254">
        <f>'DOE25'!L261+'DOE25'!L262+'DOE25'!L342+'DOE25'!L343</f>
        <v>1421084.99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381862.25000000006</v>
      </c>
      <c r="D29" s="284">
        <f>'DOE25'!L359+'DOE25'!L360+'DOE25'!L361-'DOE25'!I368-F29-G29-H29</f>
        <v>325940.9800000001</v>
      </c>
      <c r="E29" s="243"/>
      <c r="F29" s="244"/>
      <c r="G29" s="53">
        <f>'DOE25'!J359+'DOE25'!J360+'DOE25'!J361</f>
        <v>44477.98</v>
      </c>
      <c r="H29" s="53">
        <f>'DOE25'!K359+'DOE25'!K360+'DOE25'!K361</f>
        <v>11443.29</v>
      </c>
      <c r="I29" s="256"/>
    </row>
    <row r="30" spans="1:9" x14ac:dyDescent="0.2">
      <c r="A30" s="32"/>
      <c r="C30" s="277"/>
      <c r="D30" s="20"/>
      <c r="E30" s="281"/>
      <c r="F30" s="271"/>
      <c r="G30" s="53"/>
      <c r="H30" s="53"/>
      <c r="I30" s="256"/>
    </row>
    <row r="31" spans="1:9" x14ac:dyDescent="0.2">
      <c r="A31" s="32" t="s">
        <v>818</v>
      </c>
      <c r="B31" t="s">
        <v>817</v>
      </c>
      <c r="C31" s="276">
        <f>SUM(D31:I31)</f>
        <v>1218487.25</v>
      </c>
      <c r="D31" s="20">
        <f>'DOE25'!L291+'DOE25'!L310+'DOE25'!L329+'DOE25'!L334+'DOE25'!L335+'DOE25'!L336-F31-G31-H31</f>
        <v>1147545.8599999999</v>
      </c>
      <c r="E31" s="243"/>
      <c r="F31" s="244"/>
      <c r="G31" s="53">
        <f>'DOE25'!J291+'DOE25'!J310+'DOE25'!J329+'DOE25'!J334+'DOE25'!J335+'DOE25'!J336</f>
        <v>30355.050000000003</v>
      </c>
      <c r="H31" s="53">
        <f>'DOE25'!K291+'DOE25'!K310+'DOE25'!K329+'DOE25'!K334+'DOE25'!K335+'DOE25'!K336</f>
        <v>40586.339999999997</v>
      </c>
      <c r="I31" s="256"/>
    </row>
    <row r="32" spans="1:9" ht="12" thickBot="1" x14ac:dyDescent="0.25">
      <c r="C32" s="277"/>
      <c r="G32" s="251"/>
      <c r="H32" s="251"/>
      <c r="I32" s="258"/>
    </row>
    <row r="33" spans="1:9" ht="12" thickTop="1" x14ac:dyDescent="0.2">
      <c r="B33" t="s">
        <v>809</v>
      </c>
      <c r="D33" s="245">
        <f t="shared" ref="D33:I33" si="1">SUM(D5:D31)</f>
        <v>35367919.509999998</v>
      </c>
      <c r="E33" s="245">
        <f t="shared" si="1"/>
        <v>3096072.6899999995</v>
      </c>
      <c r="F33" s="245">
        <f t="shared" si="1"/>
        <v>1313808</v>
      </c>
      <c r="G33" s="245">
        <f t="shared" si="1"/>
        <v>345329.14999999997</v>
      </c>
      <c r="H33" s="245">
        <f t="shared" si="1"/>
        <v>129184.60999999999</v>
      </c>
      <c r="I33" s="245">
        <f t="shared" si="1"/>
        <v>1421084.99</v>
      </c>
    </row>
    <row r="35" spans="1:9" ht="12" thickBot="1" x14ac:dyDescent="0.25">
      <c r="B35" s="251" t="s">
        <v>831</v>
      </c>
      <c r="D35" s="252">
        <f>E33</f>
        <v>3096072.6899999995</v>
      </c>
      <c r="E35" s="248"/>
    </row>
    <row r="36" spans="1:9" ht="12" thickTop="1" x14ac:dyDescent="0.2">
      <c r="B36" t="s">
        <v>810</v>
      </c>
      <c r="D36" s="20">
        <f>D33</f>
        <v>35367919.509999998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MILFORD SCHOOL DISTRICT SAU 40</v>
      </c>
      <c r="B2" s="126">
        <f>'DOE25'!B2</f>
        <v>357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16069428.59</v>
      </c>
      <c r="G4" s="303">
        <f>'DOE25'!L212+'DOE25'!L291</f>
        <v>16069428.590000004</v>
      </c>
      <c r="H4" s="337">
        <f>F4-G4</f>
        <v>0</v>
      </c>
      <c r="I4" s="309" t="str">
        <f>IF(H4=0,"","Does not match DOE25 page 7 and 11 Totals!!")</f>
        <v/>
      </c>
      <c r="N4"/>
    </row>
    <row r="5" spans="1:18" x14ac:dyDescent="0.2">
      <c r="A5" s="21" t="s">
        <v>1272</v>
      </c>
      <c r="B5" s="304">
        <f>IFERROR(VLOOKUP(A5,'School Tables'!$C$3:$D$365,2,FALSE),"")</f>
        <v>26580</v>
      </c>
      <c r="C5" s="297" t="str">
        <f>IFERROR(INDEX('School Tables'!$B$3:$B$365,MATCH('School Level Expenditures'!B5,'School Tables'!$D$3:$D$365,0)),"")</f>
        <v>Milford</v>
      </c>
      <c r="D5" s="294">
        <v>5011883.59</v>
      </c>
      <c r="E5" s="294">
        <v>209794.92</v>
      </c>
      <c r="F5" s="312">
        <f>D5+E5</f>
        <v>5221678.51</v>
      </c>
      <c r="G5" s="297"/>
      <c r="H5" s="297"/>
      <c r="I5" s="126"/>
      <c r="N5"/>
    </row>
    <row r="6" spans="1:18" x14ac:dyDescent="0.2">
      <c r="A6" s="21" t="s">
        <v>1271</v>
      </c>
      <c r="B6" s="304">
        <f>IFERROR(VLOOKUP(A6,'School Tables'!$C$3:$D$365,2,FALSE),"")</f>
        <v>27895</v>
      </c>
      <c r="C6" s="297" t="str">
        <f>IFERROR(INDEX('School Tables'!$B$3:$B$365,MATCH('School Level Expenditures'!B6,'School Tables'!$D$3:$D$365,0)),"")</f>
        <v>Milford</v>
      </c>
      <c r="D6" s="294">
        <v>10175642.43</v>
      </c>
      <c r="E6" s="294">
        <v>425947.27</v>
      </c>
      <c r="F6" s="307">
        <f t="shared" ref="F6:F20" si="0">D6+E6</f>
        <v>10601589.699999999</v>
      </c>
      <c r="G6" s="297"/>
      <c r="H6" s="297"/>
      <c r="I6" s="126"/>
      <c r="N6"/>
    </row>
    <row r="7" spans="1:18" x14ac:dyDescent="0.2">
      <c r="A7" s="21" t="s">
        <v>1562</v>
      </c>
      <c r="B7" s="304">
        <f>IFERROR(VLOOKUP(A7,'School Tables'!$C$3:$D$365,2,FALSE),"")</f>
        <v>99999</v>
      </c>
      <c r="C7" s="297" t="str">
        <f>IFERROR(INDEX('School Tables'!$B$3:$B$365,MATCH('School Level Expenditures'!B7,'School Tables'!$D$3:$D$365,0)),"")</f>
        <v>Other District Expenditures</v>
      </c>
      <c r="D7" s="294">
        <v>246160.38</v>
      </c>
      <c r="E7" s="294"/>
      <c r="F7" s="307">
        <f t="shared" si="0"/>
        <v>246160.38</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9385250.6999999993</v>
      </c>
      <c r="G24" s="303">
        <f>'DOE25'!L230+'DOE25'!L310</f>
        <v>9385250.700000003</v>
      </c>
      <c r="H24" s="337">
        <f>F24-G24</f>
        <v>0</v>
      </c>
      <c r="I24" s="309" t="str">
        <f>IF(H24=0,"","Does not match DOE25 page 8 and 12 Totals!!")</f>
        <v/>
      </c>
      <c r="N24"/>
    </row>
    <row r="25" spans="1:14" x14ac:dyDescent="0.2">
      <c r="A25" s="21" t="s">
        <v>1269</v>
      </c>
      <c r="B25" s="304">
        <f>IFERROR(VLOOKUP(A25,'School Tables'!$I$3:$J$80,2,FALSE),"")</f>
        <v>21760</v>
      </c>
      <c r="C25" s="297" t="str">
        <f t="array" ref="C25">IFERROR(INDEX('School Tables'!$H$3:$H$80,MATCH('School Level Expenditures'!B25,'School Tables'!$J$3:$J$80,0)),"")</f>
        <v>Milford</v>
      </c>
      <c r="D25" s="294">
        <v>9153894.2799999993</v>
      </c>
      <c r="E25" s="294">
        <v>220176.49</v>
      </c>
      <c r="F25" s="307">
        <f>D25+E25</f>
        <v>9374070.7699999996</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11179.93</v>
      </c>
      <c r="E26" s="294"/>
      <c r="F26" s="307">
        <f t="shared" ref="F26:F32" si="1">D26+E26</f>
        <v>11179.93</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14402272.42</v>
      </c>
      <c r="G36" s="303">
        <f>'DOE25'!L248+'DOE25'!L329</f>
        <v>14402272.420000002</v>
      </c>
      <c r="H36" s="337">
        <f>F36-G36</f>
        <v>0</v>
      </c>
      <c r="I36" s="309" t="str">
        <f>IF(H36=0,"","Does not match DOE25 page 9 and 13 Totals!!")</f>
        <v/>
      </c>
      <c r="N36"/>
    </row>
    <row r="37" spans="1:14" x14ac:dyDescent="0.2">
      <c r="A37" s="21" t="s">
        <v>1270</v>
      </c>
      <c r="B37" s="304">
        <f>IFERROR(VLOOKUP(A37,'School Tables'!$O$3:$P$118,2,FALSE),"")</f>
        <v>21765</v>
      </c>
      <c r="C37" s="297" t="str">
        <f t="array" ref="C37">IFERROR(INDEX('School Tables'!$N$3:$N$118,MATCH('School Level Expenditures'!B37,'School Tables'!$P$3:$P$118,0)),"")</f>
        <v>Milford</v>
      </c>
      <c r="D37" s="294">
        <v>13429027.83</v>
      </c>
      <c r="E37" s="294">
        <v>302909.49</v>
      </c>
      <c r="F37" s="307">
        <f>D37+E37</f>
        <v>13731937.32</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670335.1</v>
      </c>
      <c r="E38" s="294"/>
      <c r="F38" s="307">
        <f t="shared" ref="F38:F41" si="2">D38+E38</f>
        <v>670335.1</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2" activePane="bottomLeft" state="frozen"/>
      <selection activeCell="F46" sqref="F46"/>
      <selection pane="bottomLeft"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MILFORD SCHOOL DISTRICT SAU 40</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1122524.1299999999</v>
      </c>
      <c r="D8" s="95">
        <f>'DOE25'!G9</f>
        <v>365</v>
      </c>
      <c r="E8" s="95">
        <f>'DOE25'!H9</f>
        <v>273504.96000000002</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184581.81</v>
      </c>
      <c r="D11" s="95">
        <f>'DOE25'!G12</f>
        <v>53894.27</v>
      </c>
      <c r="E11" s="95">
        <f>'DOE25'!H12</f>
        <v>3719.98</v>
      </c>
      <c r="F11" s="95">
        <f>'DOE25'!I12</f>
        <v>0</v>
      </c>
      <c r="G11" s="95">
        <f>'DOE25'!J12</f>
        <v>0</v>
      </c>
      <c r="H11" s="124"/>
      <c r="I11" s="124"/>
    </row>
    <row r="12" spans="1:9" x14ac:dyDescent="0.2">
      <c r="A12" s="1" t="s">
        <v>143</v>
      </c>
      <c r="B12" s="6">
        <v>140</v>
      </c>
      <c r="C12" s="95">
        <f>'DOE25'!F13</f>
        <v>103864.23000000001</v>
      </c>
      <c r="D12" s="95">
        <f>'DOE25'!G13</f>
        <v>16130.25</v>
      </c>
      <c r="E12" s="95">
        <f>'DOE25'!H13</f>
        <v>243484.72</v>
      </c>
      <c r="F12" s="95">
        <f>'DOE25'!I13</f>
        <v>0</v>
      </c>
      <c r="G12" s="95">
        <f>'DOE25'!J13</f>
        <v>5040526.25</v>
      </c>
      <c r="H12" s="124"/>
      <c r="I12" s="124"/>
    </row>
    <row r="13" spans="1:9" x14ac:dyDescent="0.2">
      <c r="A13" s="1" t="s">
        <v>144</v>
      </c>
      <c r="B13" s="6">
        <v>150</v>
      </c>
      <c r="C13" s="95">
        <f>'DOE25'!F14</f>
        <v>9951.39</v>
      </c>
      <c r="D13" s="95">
        <f>'DOE25'!G14</f>
        <v>0</v>
      </c>
      <c r="E13" s="95">
        <f>'DOE25'!H14</f>
        <v>6410.75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37428.129999999997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1458349.6899999997</v>
      </c>
      <c r="D18" s="41">
        <f>SUM(D8:D17)</f>
        <v>70389.51999999999</v>
      </c>
      <c r="E18" s="41">
        <f>SUM(E8:E17)</f>
        <v>527120.41</v>
      </c>
      <c r="F18" s="41">
        <f>SUM(F8:F17)</f>
        <v>0</v>
      </c>
      <c r="G18" s="41">
        <f>SUM(G8:G17)</f>
        <v>5040526.25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57614.25</v>
      </c>
      <c r="D21" s="95">
        <f>'DOE25'!G22</f>
        <v>0</v>
      </c>
      <c r="E21" s="95">
        <f>'DOE25'!H22</f>
        <v>184581.81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73570.73000000001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212547.02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39210.36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343732</v>
      </c>
      <c r="D31" s="41">
        <f>SUM(D21:D30)</f>
        <v>39210.36</v>
      </c>
      <c r="E31" s="41">
        <f>SUM(E21:E30)</f>
        <v>184581.81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37428.129999999997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70005.47</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32520.65</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4938000.13</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31179.16</v>
      </c>
      <c r="E47" s="95">
        <f>'DOE25'!H48</f>
        <v>342538.60000000003</v>
      </c>
      <c r="F47" s="95">
        <f>'DOE25'!I48</f>
        <v>0</v>
      </c>
      <c r="G47" s="95">
        <f>'DOE25'!J48</f>
        <v>0</v>
      </c>
      <c r="H47" s="124"/>
      <c r="I47" s="124"/>
    </row>
    <row r="48" spans="1:9" x14ac:dyDescent="0.2">
      <c r="A48" s="1" t="s">
        <v>882</v>
      </c>
      <c r="B48" s="6">
        <v>753</v>
      </c>
      <c r="C48" s="95">
        <f>'DOE25'!F49</f>
        <v>485677</v>
      </c>
      <c r="D48" s="95">
        <f>'DOE25'!G49</f>
        <v>0</v>
      </c>
      <c r="E48" s="95">
        <f>'DOE25'!H49</f>
        <v>0</v>
      </c>
      <c r="F48" s="95">
        <f>'DOE25'!I49</f>
        <v>0</v>
      </c>
      <c r="G48" s="95">
        <f>'DOE25'!J49</f>
        <v>0</v>
      </c>
      <c r="H48" s="124"/>
      <c r="I48" s="124"/>
    </row>
    <row r="49" spans="1:9" ht="12" thickBot="1" x14ac:dyDescent="0.25">
      <c r="A49" s="29" t="s">
        <v>883</v>
      </c>
      <c r="B49" s="71">
        <v>770</v>
      </c>
      <c r="C49" s="95">
        <f>'DOE25'!F50</f>
        <v>591512.56000000006</v>
      </c>
      <c r="D49" s="24" t="s">
        <v>288</v>
      </c>
      <c r="E49" s="24" t="s">
        <v>288</v>
      </c>
      <c r="F49" s="24" t="s">
        <v>288</v>
      </c>
      <c r="G49" s="24" t="s">
        <v>288</v>
      </c>
      <c r="H49" s="124"/>
      <c r="I49" s="124"/>
    </row>
    <row r="50" spans="1:9" ht="12.75" thickTop="1" thickBot="1" x14ac:dyDescent="0.25">
      <c r="A50" s="38" t="s">
        <v>884</v>
      </c>
      <c r="B50" s="48"/>
      <c r="C50" s="41">
        <f>SUM(C34:C49)</f>
        <v>1114617.69</v>
      </c>
      <c r="D50" s="41">
        <f>SUM(D34:D49)</f>
        <v>31179.16</v>
      </c>
      <c r="E50" s="41">
        <f>SUM(E34:E49)</f>
        <v>342538.60000000003</v>
      </c>
      <c r="F50" s="41">
        <f>SUM(F34:F49)</f>
        <v>0</v>
      </c>
      <c r="G50" s="41">
        <f>SUM(G34:G49)</f>
        <v>5040526.25</v>
      </c>
      <c r="H50" s="124"/>
      <c r="I50" s="124"/>
    </row>
    <row r="51" spans="1:9" ht="12" thickTop="1" x14ac:dyDescent="0.2">
      <c r="A51" s="38" t="s">
        <v>885</v>
      </c>
      <c r="B51" s="2"/>
      <c r="C51" s="41">
        <f>C50+C31</f>
        <v>1458349.69</v>
      </c>
      <c r="D51" s="41">
        <f>D50+D31</f>
        <v>70389.52</v>
      </c>
      <c r="E51" s="41">
        <f>E50+E31</f>
        <v>527120.41</v>
      </c>
      <c r="F51" s="41">
        <f>F50+F31</f>
        <v>0</v>
      </c>
      <c r="G51" s="41">
        <f>G50+G31</f>
        <v>5040526.25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27506548</v>
      </c>
      <c r="D56" s="95">
        <f>'DOE25'!G60</f>
        <v>0</v>
      </c>
      <c r="E56" s="95">
        <f>'DOE25'!H60</f>
        <v>0</v>
      </c>
      <c r="F56" s="95">
        <f>'DOE25'!I60</f>
        <v>0</v>
      </c>
      <c r="G56" s="95">
        <f>'DOE25'!J60</f>
        <v>0</v>
      </c>
      <c r="H56"/>
      <c r="I56"/>
    </row>
    <row r="57" spans="1:9" x14ac:dyDescent="0.2">
      <c r="A57" s="1" t="s">
        <v>164</v>
      </c>
      <c r="B57" s="6" t="s">
        <v>165</v>
      </c>
      <c r="C57" s="95">
        <f>'DOE25'!F79</f>
        <v>1338679.3400000001</v>
      </c>
      <c r="D57" s="24" t="s">
        <v>288</v>
      </c>
      <c r="E57" s="95">
        <f>'DOE25'!H79</f>
        <v>64502.25</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20442.68</v>
      </c>
      <c r="D59" s="95">
        <f>'DOE25'!G96</f>
        <v>0</v>
      </c>
      <c r="E59" s="95">
        <f>'DOE25'!H96</f>
        <v>0</v>
      </c>
      <c r="F59" s="95">
        <f>'DOE25'!I96</f>
        <v>0</v>
      </c>
      <c r="G59" s="95">
        <f>'DOE25'!J96</f>
        <v>137526.12</v>
      </c>
      <c r="H59"/>
      <c r="I59"/>
    </row>
    <row r="60" spans="1:9" x14ac:dyDescent="0.2">
      <c r="A60" s="1" t="s">
        <v>170</v>
      </c>
      <c r="B60" s="118" t="s">
        <v>171</v>
      </c>
      <c r="C60" s="24" t="s">
        <v>288</v>
      </c>
      <c r="D60" s="95">
        <f>'DOE25'!G97</f>
        <v>301921.63</v>
      </c>
      <c r="E60" s="24" t="s">
        <v>288</v>
      </c>
      <c r="F60" s="24" t="s">
        <v>288</v>
      </c>
      <c r="G60" s="24" t="s">
        <v>288</v>
      </c>
      <c r="H60"/>
      <c r="I60"/>
    </row>
    <row r="61" spans="1:9" ht="12" thickBot="1" x14ac:dyDescent="0.25">
      <c r="A61" s="1" t="s">
        <v>172</v>
      </c>
      <c r="B61" s="118" t="s">
        <v>173</v>
      </c>
      <c r="C61" s="95">
        <f>SUM('DOE25'!F98:F110)</f>
        <v>25170.48</v>
      </c>
      <c r="D61" s="95">
        <f>SUM('DOE25'!G98:G110)</f>
        <v>0</v>
      </c>
      <c r="E61" s="95">
        <f>SUM('DOE25'!H98:H110)</f>
        <v>31880.45</v>
      </c>
      <c r="F61" s="95">
        <f>SUM('DOE25'!I98:I110)</f>
        <v>0</v>
      </c>
      <c r="G61" s="95">
        <f>SUM('DOE25'!J98:J110)</f>
        <v>0</v>
      </c>
      <c r="H61"/>
      <c r="I61"/>
    </row>
    <row r="62" spans="1:9" ht="12.75" thickTop="1" thickBot="1" x14ac:dyDescent="0.25">
      <c r="A62" s="29" t="s">
        <v>174</v>
      </c>
      <c r="B62" s="6"/>
      <c r="C62" s="130">
        <f>SUM(C57:C61)</f>
        <v>1384292.5</v>
      </c>
      <c r="D62" s="130">
        <f>SUM(D57:D61)</f>
        <v>301921.63</v>
      </c>
      <c r="E62" s="130">
        <f>SUM(E57:E61)</f>
        <v>96382.7</v>
      </c>
      <c r="F62" s="130">
        <f>SUM(F57:F61)</f>
        <v>0</v>
      </c>
      <c r="G62" s="130">
        <f>SUM(G57:G61)</f>
        <v>137526.12</v>
      </c>
      <c r="H62"/>
      <c r="I62"/>
    </row>
    <row r="63" spans="1:9" ht="12" thickTop="1" x14ac:dyDescent="0.2">
      <c r="A63" s="29" t="s">
        <v>175</v>
      </c>
      <c r="B63" s="6"/>
      <c r="C63" s="22">
        <f>C56+C62</f>
        <v>28890840.5</v>
      </c>
      <c r="D63" s="22">
        <f>D56+D62</f>
        <v>301921.63</v>
      </c>
      <c r="E63" s="22">
        <f>E56+E62</f>
        <v>96382.7</v>
      </c>
      <c r="F63" s="22">
        <f>F56+F62</f>
        <v>0</v>
      </c>
      <c r="G63" s="22">
        <f>G56+G62</f>
        <v>137526.12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7753466.5999999996</v>
      </c>
      <c r="D66" s="24" t="s">
        <v>288</v>
      </c>
      <c r="E66" s="24" t="s">
        <v>288</v>
      </c>
      <c r="F66" s="24" t="s">
        <v>288</v>
      </c>
      <c r="G66" s="24" t="s">
        <v>288</v>
      </c>
      <c r="H66"/>
      <c r="I66"/>
    </row>
    <row r="67" spans="1:9" x14ac:dyDescent="0.2">
      <c r="A67" s="1" t="s">
        <v>770</v>
      </c>
      <c r="B67" s="6">
        <v>3112</v>
      </c>
      <c r="C67" s="95">
        <f>'DOE25'!F118</f>
        <v>3037778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10791244.6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240864.93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304275.90000000002</v>
      </c>
      <c r="D75" s="24" t="s">
        <v>288</v>
      </c>
      <c r="E75" s="24" t="s">
        <v>288</v>
      </c>
      <c r="F75" s="24" t="s">
        <v>288</v>
      </c>
      <c r="G75" s="24" t="s">
        <v>288</v>
      </c>
      <c r="H75"/>
      <c r="I75"/>
    </row>
    <row r="76" spans="1:9" x14ac:dyDescent="0.2">
      <c r="A76" s="1" t="s">
        <v>257</v>
      </c>
      <c r="B76" s="6" t="s">
        <v>179</v>
      </c>
      <c r="C76" s="95">
        <f>SUM('DOE25'!F127:F130)</f>
        <v>55786</v>
      </c>
      <c r="D76" s="24" t="s">
        <v>288</v>
      </c>
      <c r="E76" s="95">
        <f>SUM('DOE25'!H127:H130)</f>
        <v>36399.99</v>
      </c>
      <c r="F76" s="95">
        <f>SUM('DOE25'!I127:I130)</f>
        <v>0</v>
      </c>
      <c r="G76" s="24" t="s">
        <v>288</v>
      </c>
      <c r="H76"/>
      <c r="I76"/>
    </row>
    <row r="77" spans="1:9" ht="12" thickBot="1" x14ac:dyDescent="0.25">
      <c r="A77" s="1" t="s">
        <v>258</v>
      </c>
      <c r="B77" s="6" t="s">
        <v>180</v>
      </c>
      <c r="C77" s="95">
        <f>SUM('DOE25'!F131:F135)</f>
        <v>0</v>
      </c>
      <c r="D77" s="95">
        <f>SUM('DOE25'!G131:G135)</f>
        <v>10293.27</v>
      </c>
      <c r="E77" s="95">
        <f>SUM('DOE25'!H131:H135)</f>
        <v>0</v>
      </c>
      <c r="F77" s="95">
        <f>SUM('DOE25'!I131:I135)</f>
        <v>0</v>
      </c>
      <c r="G77" s="95">
        <f>SUM('DOE25'!J131:J135)</f>
        <v>0</v>
      </c>
      <c r="H77"/>
      <c r="I77"/>
    </row>
    <row r="78" spans="1:9" ht="12.75" thickTop="1" thickBot="1" x14ac:dyDescent="0.25">
      <c r="A78" s="29" t="s">
        <v>259</v>
      </c>
      <c r="B78" s="6"/>
      <c r="C78" s="130">
        <f>SUM(C72:C77)</f>
        <v>600926.83000000007</v>
      </c>
      <c r="D78" s="130">
        <f>SUM(D72:D77)</f>
        <v>10293.27</v>
      </c>
      <c r="E78" s="130">
        <f>SUM(E72:E77)</f>
        <v>36399.99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11392171.43</v>
      </c>
      <c r="D81" s="130">
        <f>SUM(D79:D80)+D78+D70</f>
        <v>10293.27</v>
      </c>
      <c r="E81" s="130">
        <f>SUM(E79:E80)+E78+E70</f>
        <v>36399.99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29374.9</v>
      </c>
      <c r="D88" s="341">
        <f>SUM('DOE25'!G153:G162)</f>
        <v>196112.19</v>
      </c>
      <c r="E88" s="341">
        <f>SUM('DOE25'!H153:H162)</f>
        <v>1114194.5999999999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29374.9</v>
      </c>
      <c r="D91" s="131">
        <f>SUM(D85:D90)</f>
        <v>196112.19</v>
      </c>
      <c r="E91" s="131">
        <f>SUM(E85:E90)</f>
        <v>1114194.5999999999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16104.17</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5810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35000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35000</v>
      </c>
      <c r="D103" s="86">
        <f>SUM(D93:D102)</f>
        <v>5810</v>
      </c>
      <c r="E103" s="86">
        <f>SUM(E93:E102)</f>
        <v>0</v>
      </c>
      <c r="F103" s="86">
        <f>SUM(F93:F102)</f>
        <v>16104.17</v>
      </c>
      <c r="G103" s="86">
        <f>SUM(G93:G102)</f>
        <v>0</v>
      </c>
    </row>
    <row r="104" spans="1:7" ht="12.75" thickTop="1" thickBot="1" x14ac:dyDescent="0.25">
      <c r="A104" s="33" t="s">
        <v>761</v>
      </c>
      <c r="C104" s="86">
        <f>C63+C81+C91+C103</f>
        <v>40347386.829999998</v>
      </c>
      <c r="D104" s="86">
        <f>D63+D81+D91+D103</f>
        <v>514137.09</v>
      </c>
      <c r="E104" s="86">
        <f>E63+E81+E91+E103</f>
        <v>1246977.2899999998</v>
      </c>
      <c r="F104" s="86">
        <f>F63+F81+F91+F103</f>
        <v>16104.17</v>
      </c>
      <c r="G104" s="86">
        <f>G63+G81+G103</f>
        <v>137526.12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15897175.100000001</v>
      </c>
      <c r="D109" s="24" t="s">
        <v>288</v>
      </c>
      <c r="E109" s="95">
        <f>('DOE25'!L277)+('DOE25'!L296)+('DOE25'!L315)</f>
        <v>209742.6</v>
      </c>
      <c r="F109" s="24" t="s">
        <v>288</v>
      </c>
      <c r="G109" s="24" t="s">
        <v>288</v>
      </c>
    </row>
    <row r="110" spans="1:7" x14ac:dyDescent="0.2">
      <c r="A110" t="s">
        <v>198</v>
      </c>
      <c r="B110" s="32" t="s">
        <v>199</v>
      </c>
      <c r="C110" s="95">
        <f>('DOE25'!L199)+('DOE25'!L217)+('DOE25'!L235)</f>
        <v>6538537.5300000003</v>
      </c>
      <c r="D110" s="24" t="s">
        <v>288</v>
      </c>
      <c r="E110" s="95">
        <f>('DOE25'!L278)+('DOE25'!L297)+('DOE25'!L316)</f>
        <v>608651.12</v>
      </c>
      <c r="F110" s="24" t="s">
        <v>288</v>
      </c>
      <c r="G110" s="24" t="s">
        <v>288</v>
      </c>
    </row>
    <row r="111" spans="1:7" x14ac:dyDescent="0.2">
      <c r="A111" t="s">
        <v>200</v>
      </c>
      <c r="B111" s="32" t="s">
        <v>165</v>
      </c>
      <c r="C111" s="95">
        <f>('DOE25'!L200)+('DOE25'!L218)+('DOE25'!L236)</f>
        <v>1302099.92</v>
      </c>
      <c r="D111" s="24" t="s">
        <v>288</v>
      </c>
      <c r="E111" s="95">
        <f>('DOE25'!L279)+('DOE25'!L298)+('DOE25'!L317)</f>
        <v>47229.069999999992</v>
      </c>
      <c r="F111" s="24" t="s">
        <v>288</v>
      </c>
      <c r="G111" s="24" t="s">
        <v>288</v>
      </c>
    </row>
    <row r="112" spans="1:7" x14ac:dyDescent="0.2">
      <c r="A112" t="s">
        <v>201</v>
      </c>
      <c r="B112" s="32" t="s">
        <v>167</v>
      </c>
      <c r="C112" s="95">
        <f>('DOE25'!L201)+('DOE25'!L219)+('DOE25'!L237)</f>
        <v>341336.84</v>
      </c>
      <c r="D112" s="24" t="s">
        <v>288</v>
      </c>
      <c r="E112" s="95">
        <f>+('DOE25'!L280)+('DOE25'!L299)+('DOE25'!L318)</f>
        <v>28926.9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24079149.390000004</v>
      </c>
      <c r="D115" s="86">
        <f>SUM(D109:D114)</f>
        <v>0</v>
      </c>
      <c r="E115" s="86">
        <f>SUM(E109:E114)</f>
        <v>894549.69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3709160.6100000003</v>
      </c>
      <c r="D118" s="24" t="s">
        <v>288</v>
      </c>
      <c r="E118" s="95">
        <f>+('DOE25'!L282)+('DOE25'!L301)+('DOE25'!L320)</f>
        <v>22232.5</v>
      </c>
      <c r="F118" s="24" t="s">
        <v>288</v>
      </c>
      <c r="G118" s="24" t="s">
        <v>288</v>
      </c>
    </row>
    <row r="119" spans="1:7" x14ac:dyDescent="0.2">
      <c r="A119" t="s">
        <v>208</v>
      </c>
      <c r="B119" s="32" t="s">
        <v>209</v>
      </c>
      <c r="C119" s="95">
        <f>('DOE25'!L204)+('DOE25'!L222)+('DOE25'!L240)</f>
        <v>819078.78</v>
      </c>
      <c r="D119" s="24" t="s">
        <v>288</v>
      </c>
      <c r="E119" s="95">
        <f>+('DOE25'!L283)+('DOE25'!L302)+('DOE25'!L321)</f>
        <v>145671.53999999998</v>
      </c>
      <c r="F119" s="24" t="s">
        <v>288</v>
      </c>
      <c r="G119" s="24" t="s">
        <v>288</v>
      </c>
    </row>
    <row r="120" spans="1:7" x14ac:dyDescent="0.2">
      <c r="A120" t="s">
        <v>210</v>
      </c>
      <c r="B120" s="32" t="s">
        <v>211</v>
      </c>
      <c r="C120" s="95">
        <f>('DOE25'!L205)+('DOE25'!L223)+('DOE25'!L241)</f>
        <v>2639014.6</v>
      </c>
      <c r="D120" s="24" t="s">
        <v>288</v>
      </c>
      <c r="E120" s="95">
        <f>+('DOE25'!L284)+('DOE25'!L303)+('DOE25'!L322)</f>
        <v>146155.06000000003</v>
      </c>
      <c r="F120" s="24" t="s">
        <v>288</v>
      </c>
      <c r="G120" s="24" t="s">
        <v>288</v>
      </c>
    </row>
    <row r="121" spans="1:7" x14ac:dyDescent="0.2">
      <c r="A121" t="s">
        <v>212</v>
      </c>
      <c r="B121" s="32" t="s">
        <v>213</v>
      </c>
      <c r="C121" s="95">
        <f>('DOE25'!L206)+('DOE25'!L224)+('DOE25'!L242)</f>
        <v>2096360.6400000001</v>
      </c>
      <c r="D121" s="24" t="s">
        <v>288</v>
      </c>
      <c r="E121" s="95">
        <f>+('DOE25'!L285)+('DOE25'!L304)+('DOE25'!L323)</f>
        <v>0</v>
      </c>
      <c r="F121" s="24" t="s">
        <v>288</v>
      </c>
      <c r="G121" s="24" t="s">
        <v>288</v>
      </c>
    </row>
    <row r="122" spans="1:7" x14ac:dyDescent="0.2">
      <c r="A122" t="s">
        <v>214</v>
      </c>
      <c r="B122" s="32" t="s">
        <v>215</v>
      </c>
      <c r="C122" s="95">
        <f>('DOE25'!L207)+('DOE25'!L225)+('DOE25'!L243)</f>
        <v>1198.26</v>
      </c>
      <c r="D122" s="24" t="s">
        <v>288</v>
      </c>
      <c r="E122" s="95">
        <f>+('DOE25'!L286)+('DOE25'!L305)+('DOE25'!L324)</f>
        <v>0</v>
      </c>
      <c r="F122" s="24" t="s">
        <v>288</v>
      </c>
      <c r="G122" s="24" t="s">
        <v>288</v>
      </c>
    </row>
    <row r="123" spans="1:7" x14ac:dyDescent="0.2">
      <c r="A123" t="s">
        <v>216</v>
      </c>
      <c r="B123" s="32" t="s">
        <v>217</v>
      </c>
      <c r="C123" s="95">
        <f>('DOE25'!L208)+('DOE25'!L226)+('DOE25'!L244)</f>
        <v>2849113.57</v>
      </c>
      <c r="D123" s="24" t="s">
        <v>288</v>
      </c>
      <c r="E123" s="95">
        <f>+('DOE25'!L287)+('DOE25'!L306)+('DOE25'!L325)</f>
        <v>0</v>
      </c>
      <c r="F123" s="24" t="s">
        <v>288</v>
      </c>
      <c r="G123" s="24" t="s">
        <v>288</v>
      </c>
    </row>
    <row r="124" spans="1:7" x14ac:dyDescent="0.2">
      <c r="A124" t="s">
        <v>218</v>
      </c>
      <c r="B124" s="32" t="s">
        <v>219</v>
      </c>
      <c r="C124" s="95">
        <f>('DOE25'!L209)+('DOE25'!L227)+('DOE25'!L245+'DOE25'!L255)</f>
        <v>1217205.44</v>
      </c>
      <c r="D124" s="24" t="s">
        <v>288</v>
      </c>
      <c r="E124" s="95">
        <f>+('DOE25'!L288)+('DOE25'!L307)+('DOE25'!L326)</f>
        <v>9878.4600000000009</v>
      </c>
      <c r="F124" s="24" t="s">
        <v>288</v>
      </c>
      <c r="G124" s="24" t="s">
        <v>288</v>
      </c>
    </row>
    <row r="125" spans="1:7" x14ac:dyDescent="0.2">
      <c r="A125" t="s">
        <v>220</v>
      </c>
      <c r="B125" s="32" t="s">
        <v>221</v>
      </c>
      <c r="C125" s="95">
        <f>('DOE25'!L210)+('DOE25'!L228)+('DOE25'!L246)</f>
        <v>1228183.17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583161.57000000007</v>
      </c>
      <c r="E127" s="24" t="s">
        <v>288</v>
      </c>
      <c r="F127" s="24" t="s">
        <v>288</v>
      </c>
      <c r="G127" s="24" t="s">
        <v>288</v>
      </c>
    </row>
    <row r="128" spans="1:7" ht="12.75" thickTop="1" thickBot="1" x14ac:dyDescent="0.25">
      <c r="A128" s="33" t="s">
        <v>226</v>
      </c>
      <c r="C128" s="86">
        <f>SUM(C118:C127)</f>
        <v>14559315.07</v>
      </c>
      <c r="D128" s="86">
        <f>SUM(D118:D127)</f>
        <v>583161.57000000007</v>
      </c>
      <c r="E128" s="86">
        <f>SUM(E118:E127)</f>
        <v>323937.56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256891.61</v>
      </c>
      <c r="G130" s="24" t="s">
        <v>288</v>
      </c>
    </row>
    <row r="131" spans="1:7" x14ac:dyDescent="0.2">
      <c r="A131" t="s">
        <v>229</v>
      </c>
      <c r="B131" s="32">
        <v>5110</v>
      </c>
      <c r="C131" s="95">
        <f>'DOE25'!L261</f>
        <v>1168349.5900000001</v>
      </c>
      <c r="D131" s="24" t="s">
        <v>288</v>
      </c>
      <c r="E131" s="129">
        <f>'DOE25'!L342</f>
        <v>0</v>
      </c>
      <c r="F131" s="24" t="s">
        <v>288</v>
      </c>
      <c r="G131" s="24" t="s">
        <v>288</v>
      </c>
    </row>
    <row r="132" spans="1:7" x14ac:dyDescent="0.2">
      <c r="A132" t="s">
        <v>230</v>
      </c>
      <c r="B132" s="32">
        <v>5120</v>
      </c>
      <c r="C132" s="95">
        <f>'DOE25'!L262</f>
        <v>252735.4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35000</v>
      </c>
    </row>
    <row r="135" spans="1:7" x14ac:dyDescent="0.2">
      <c r="A135" t="s">
        <v>233</v>
      </c>
      <c r="B135" s="32" t="s">
        <v>234</v>
      </c>
      <c r="C135" s="95">
        <f>'DOE25'!L264</f>
        <v>5810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14639.76</v>
      </c>
      <c r="D139" s="24" t="s">
        <v>288</v>
      </c>
      <c r="E139" s="24" t="s">
        <v>288</v>
      </c>
      <c r="F139" s="24" t="s">
        <v>288</v>
      </c>
      <c r="G139" s="24" t="s">
        <v>288</v>
      </c>
    </row>
    <row r="140" spans="1:7" x14ac:dyDescent="0.2">
      <c r="A140" t="s">
        <v>240</v>
      </c>
      <c r="B140" s="32">
        <v>5253</v>
      </c>
      <c r="C140" s="95">
        <f>'DOE25'!L408</f>
        <v>122886.36</v>
      </c>
      <c r="D140" s="24" t="s">
        <v>288</v>
      </c>
      <c r="E140" s="24" t="s">
        <v>288</v>
      </c>
      <c r="F140" s="24" t="s">
        <v>288</v>
      </c>
      <c r="G140" s="24" t="s">
        <v>288</v>
      </c>
    </row>
    <row r="141" spans="1:7" x14ac:dyDescent="0.2">
      <c r="A141" t="s">
        <v>762</v>
      </c>
      <c r="B141" s="32">
        <v>5254</v>
      </c>
      <c r="C141" s="95">
        <f>('DOE25'!L267+'DOE25'!K348) - (C138+C139+C140)</f>
        <v>-137526.12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1426894.9900000002</v>
      </c>
      <c r="D144" s="141">
        <f>SUM(D130:D143)</f>
        <v>0</v>
      </c>
      <c r="E144" s="141">
        <f>SUM(E130:E143)</f>
        <v>0</v>
      </c>
      <c r="F144" s="141">
        <f>SUM(F130:F143)</f>
        <v>256891.61</v>
      </c>
      <c r="G144" s="141">
        <f>SUM(G130:G143)</f>
        <v>35000</v>
      </c>
    </row>
    <row r="145" spans="1:9" ht="12.75" thickTop="1" thickBot="1" x14ac:dyDescent="0.25">
      <c r="A145" s="33" t="s">
        <v>244</v>
      </c>
      <c r="C145" s="86">
        <f>(C115+C128+C144)</f>
        <v>40065359.45000001</v>
      </c>
      <c r="D145" s="86">
        <f>(D115+D128+D144)</f>
        <v>583161.57000000007</v>
      </c>
      <c r="E145" s="86">
        <f>(E115+E128+E144)</f>
        <v>1218487.25</v>
      </c>
      <c r="F145" s="86">
        <f>(F115+F128+F144)</f>
        <v>256891.61</v>
      </c>
      <c r="G145" s="86">
        <f>(G115+G128+G144)</f>
        <v>35000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20</v>
      </c>
      <c r="E151" s="153">
        <f>'DOE25'!I491</f>
        <v>10</v>
      </c>
      <c r="F151" s="153">
        <f>'DOE25'!J491</f>
        <v>5</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10895000</v>
      </c>
      <c r="C154" s="137">
        <f>'DOE25'!G494</f>
        <v>1404300</v>
      </c>
      <c r="D154" s="137">
        <f>'DOE25'!H494</f>
        <v>4393500</v>
      </c>
      <c r="E154" s="137">
        <f>'DOE25'!I494</f>
        <v>2553500</v>
      </c>
      <c r="F154" s="137">
        <f>'DOE25'!J494</f>
        <v>123530</v>
      </c>
      <c r="G154" s="24" t="s">
        <v>288</v>
      </c>
    </row>
    <row r="155" spans="1:9" x14ac:dyDescent="0.2">
      <c r="A155" s="136" t="s">
        <v>31</v>
      </c>
      <c r="B155" s="137">
        <f>'DOE25'!F495</f>
        <v>5.58</v>
      </c>
      <c r="C155" s="137">
        <f>'DOE25'!G495</f>
        <v>5.0999999999999996</v>
      </c>
      <c r="D155" s="137">
        <f>'DOE25'!H495</f>
        <v>4.43</v>
      </c>
      <c r="E155" s="137">
        <f>'DOE25'!I495</f>
        <v>5.0999999999999996</v>
      </c>
      <c r="F155" s="137">
        <f>'DOE25'!J495</f>
        <v>0</v>
      </c>
      <c r="G155" s="24" t="s">
        <v>288</v>
      </c>
    </row>
    <row r="156" spans="1:9" x14ac:dyDescent="0.2">
      <c r="A156" s="22" t="s">
        <v>32</v>
      </c>
      <c r="B156" s="137">
        <f>'DOE25'!F496</f>
        <v>540000</v>
      </c>
      <c r="C156" s="137">
        <f>'DOE25'!G496</f>
        <v>700000</v>
      </c>
      <c r="D156" s="137">
        <f>'DOE25'!H496</f>
        <v>1975000</v>
      </c>
      <c r="E156" s="137">
        <f>'DOE25'!I496</f>
        <v>2295000</v>
      </c>
      <c r="F156" s="137">
        <f>'DOE25'!J496</f>
        <v>27145.05</v>
      </c>
      <c r="G156" s="138">
        <f>SUM(B156:F156)</f>
        <v>5537145.0499999998</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540000</v>
      </c>
      <c r="C158" s="137">
        <f>'DOE25'!G498</f>
        <v>140000</v>
      </c>
      <c r="D158" s="137">
        <f>'DOE25'!H498</f>
        <v>220000</v>
      </c>
      <c r="E158" s="137">
        <f>'DOE25'!I498</f>
        <v>255000</v>
      </c>
      <c r="F158" s="137">
        <f>'DOE25'!J498</f>
        <v>13349.59</v>
      </c>
      <c r="G158" s="138">
        <f t="shared" si="0"/>
        <v>1168349.5900000001</v>
      </c>
    </row>
    <row r="159" spans="1:9" x14ac:dyDescent="0.2">
      <c r="A159" s="22" t="s">
        <v>35</v>
      </c>
      <c r="B159" s="137">
        <f>'DOE25'!F499</f>
        <v>0</v>
      </c>
      <c r="C159" s="137">
        <f>'DOE25'!G499</f>
        <v>560000</v>
      </c>
      <c r="D159" s="137">
        <f>'DOE25'!H499</f>
        <v>1755000</v>
      </c>
      <c r="E159" s="137">
        <f>'DOE25'!I499</f>
        <v>2040000</v>
      </c>
      <c r="F159" s="137">
        <f>'DOE25'!J499</f>
        <v>13795.46</v>
      </c>
      <c r="G159" s="138">
        <f t="shared" si="0"/>
        <v>4368795.46</v>
      </c>
    </row>
    <row r="160" spans="1:9" x14ac:dyDescent="0.2">
      <c r="A160" s="22" t="s">
        <v>36</v>
      </c>
      <c r="B160" s="137">
        <f>'DOE25'!F500</f>
        <v>0</v>
      </c>
      <c r="C160" s="137">
        <f>'DOE25'!G500</f>
        <v>59920</v>
      </c>
      <c r="D160" s="137">
        <f>'DOE25'!H500</f>
        <v>273413.08</v>
      </c>
      <c r="E160" s="137">
        <f>'DOE25'!I500</f>
        <v>526702.5</v>
      </c>
      <c r="F160" s="137">
        <f>'DOE25'!J500</f>
        <v>460.77</v>
      </c>
      <c r="G160" s="138">
        <f t="shared" si="0"/>
        <v>860496.35000000009</v>
      </c>
    </row>
    <row r="161" spans="1:7" x14ac:dyDescent="0.2">
      <c r="A161" s="22" t="s">
        <v>37</v>
      </c>
      <c r="B161" s="137">
        <f>'DOE25'!F501</f>
        <v>0</v>
      </c>
      <c r="C161" s="137">
        <f>'DOE25'!G501</f>
        <v>619920</v>
      </c>
      <c r="D161" s="137">
        <f>'DOE25'!H501</f>
        <v>2028413.08</v>
      </c>
      <c r="E161" s="137">
        <f>'DOE25'!I501</f>
        <v>2566702.5</v>
      </c>
      <c r="F161" s="137">
        <f>'DOE25'!J501</f>
        <v>14256.23</v>
      </c>
      <c r="G161" s="138">
        <f t="shared" si="0"/>
        <v>5229291.8100000005</v>
      </c>
    </row>
    <row r="162" spans="1:7" x14ac:dyDescent="0.2">
      <c r="A162" s="22" t="s">
        <v>38</v>
      </c>
      <c r="B162" s="137">
        <f>'DOE25'!F502</f>
        <v>0</v>
      </c>
      <c r="C162" s="137">
        <f>'DOE25'!G502</f>
        <v>140000</v>
      </c>
      <c r="D162" s="137">
        <f>'DOE25'!H502</f>
        <v>220000</v>
      </c>
      <c r="E162" s="137">
        <f>'DOE25'!I502</f>
        <v>255000</v>
      </c>
      <c r="F162" s="137">
        <f>'DOE25'!J502</f>
        <v>13795.46</v>
      </c>
      <c r="G162" s="138">
        <f t="shared" si="0"/>
        <v>628795.46</v>
      </c>
    </row>
    <row r="163" spans="1:7" x14ac:dyDescent="0.2">
      <c r="A163" s="22" t="s">
        <v>39</v>
      </c>
      <c r="B163" s="137">
        <f>'DOE25'!F503</f>
        <v>0</v>
      </c>
      <c r="C163" s="137">
        <f>'DOE25'!G503</f>
        <v>26215</v>
      </c>
      <c r="D163" s="137">
        <f>'DOE25'!H503</f>
        <v>67856.259999999995</v>
      </c>
      <c r="E163" s="137">
        <f>'DOE25'!I503</f>
        <v>97537.5</v>
      </c>
      <c r="F163" s="137">
        <f>'DOE25'!J503</f>
        <v>460.77</v>
      </c>
      <c r="G163" s="138">
        <f t="shared" si="0"/>
        <v>192069.53</v>
      </c>
    </row>
    <row r="164" spans="1:7" x14ac:dyDescent="0.2">
      <c r="A164" s="22" t="s">
        <v>246</v>
      </c>
      <c r="B164" s="137">
        <f>'DOE25'!F504</f>
        <v>0</v>
      </c>
      <c r="C164" s="137">
        <f>'DOE25'!G504</f>
        <v>166215</v>
      </c>
      <c r="D164" s="137">
        <f>'DOE25'!H504</f>
        <v>287856.26</v>
      </c>
      <c r="E164" s="137">
        <f>'DOE25'!I504</f>
        <v>352537.5</v>
      </c>
      <c r="F164" s="137">
        <f>'DOE25'!J504</f>
        <v>14256.23</v>
      </c>
      <c r="G164" s="138">
        <f t="shared" si="0"/>
        <v>820864.99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31" sqref="F3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MILFORD SCHOOL DISTRICT SAU 40</v>
      </c>
    </row>
    <row r="3" spans="1:4" x14ac:dyDescent="0.2">
      <c r="B3" s="188" t="s">
        <v>1587</v>
      </c>
    </row>
    <row r="4" spans="1:4" x14ac:dyDescent="0.2">
      <c r="B4" t="s">
        <v>61</v>
      </c>
      <c r="C4" s="179">
        <f>IF('DOE25'!F666+'DOE25'!F671=0,0,ROUND('DOE25'!F673,0))</f>
        <v>16380</v>
      </c>
    </row>
    <row r="5" spans="1:4" x14ac:dyDescent="0.2">
      <c r="B5" t="s">
        <v>700</v>
      </c>
      <c r="C5" s="179">
        <f>IF('DOE25'!G666+'DOE25'!G671=0,0,ROUND('DOE25'!G673,0))</f>
        <v>16547</v>
      </c>
    </row>
    <row r="6" spans="1:4" x14ac:dyDescent="0.2">
      <c r="B6" t="s">
        <v>62</v>
      </c>
      <c r="C6" s="179">
        <f>IF('DOE25'!H666+'DOE25'!H671=0,0,ROUND('DOE25'!H673,0))</f>
        <v>16520</v>
      </c>
    </row>
    <row r="7" spans="1:4" x14ac:dyDescent="0.2">
      <c r="B7" t="s">
        <v>701</v>
      </c>
      <c r="C7" s="179">
        <f>IF('DOE25'!I666+'DOE25'!I671=0,0,ROUND('DOE25'!I673,0))</f>
        <v>16469</v>
      </c>
    </row>
    <row r="9" spans="1:4" x14ac:dyDescent="0.2">
      <c r="A9" s="187" t="s">
        <v>94</v>
      </c>
      <c r="B9" s="188" t="s">
        <v>1588</v>
      </c>
      <c r="C9" s="181" t="s">
        <v>720</v>
      </c>
      <c r="D9" s="181" t="s">
        <v>721</v>
      </c>
    </row>
    <row r="10" spans="1:4" x14ac:dyDescent="0.2">
      <c r="A10">
        <v>1100</v>
      </c>
      <c r="B10" t="s">
        <v>702</v>
      </c>
      <c r="C10" s="179">
        <f>ROUND('DOE25'!L198+'DOE25'!L216+'DOE25'!L234+'DOE25'!L277+'DOE25'!L296+'DOE25'!L315,0)</f>
        <v>16106918</v>
      </c>
      <c r="D10" s="182">
        <f>ROUND((C10/$C$28)*100,1)</f>
        <v>39.9</v>
      </c>
    </row>
    <row r="11" spans="1:4" x14ac:dyDescent="0.2">
      <c r="A11">
        <v>1200</v>
      </c>
      <c r="B11" t="s">
        <v>703</v>
      </c>
      <c r="C11" s="179">
        <f>ROUND('DOE25'!L199+'DOE25'!L217+'DOE25'!L235+'DOE25'!L278+'DOE25'!L297+'DOE25'!L316,0)</f>
        <v>7147189</v>
      </c>
      <c r="D11" s="182">
        <f>ROUND((C11/$C$28)*100,1)</f>
        <v>17.7</v>
      </c>
    </row>
    <row r="12" spans="1:4" x14ac:dyDescent="0.2">
      <c r="A12">
        <v>1300</v>
      </c>
      <c r="B12" t="s">
        <v>704</v>
      </c>
      <c r="C12" s="179">
        <f>ROUND('DOE25'!L200+'DOE25'!L218+'DOE25'!L236+'DOE25'!L279+'DOE25'!L298+'DOE25'!L317,0)</f>
        <v>1349329</v>
      </c>
      <c r="D12" s="182">
        <f>ROUND((C12/$C$28)*100,1)</f>
        <v>3.3</v>
      </c>
    </row>
    <row r="13" spans="1:4" x14ac:dyDescent="0.2">
      <c r="A13">
        <v>1400</v>
      </c>
      <c r="B13" t="s">
        <v>705</v>
      </c>
      <c r="C13" s="179">
        <f>ROUND('DOE25'!L201+'DOE25'!L219+'DOE25'!L237+'DOE25'!L280+'DOE25'!L299+'DOE25'!L318,0)</f>
        <v>370264</v>
      </c>
      <c r="D13" s="182">
        <f>ROUND((C13/$C$28)*100,1)</f>
        <v>0.9</v>
      </c>
    </row>
    <row r="14" spans="1:4" x14ac:dyDescent="0.2">
      <c r="D14" s="182"/>
    </row>
    <row r="15" spans="1:4" x14ac:dyDescent="0.2">
      <c r="A15">
        <v>2100</v>
      </c>
      <c r="B15" t="s">
        <v>706</v>
      </c>
      <c r="C15" s="179">
        <f>ROUND('DOE25'!L203+'DOE25'!L221+'DOE25'!L239+'DOE25'!L282+'DOE25'!L301+'DOE25'!L320,0)</f>
        <v>3731393</v>
      </c>
      <c r="D15" s="182">
        <f t="shared" ref="D15:D27" si="0">ROUND((C15/$C$28)*100,1)</f>
        <v>9.1999999999999993</v>
      </c>
    </row>
    <row r="16" spans="1:4" x14ac:dyDescent="0.2">
      <c r="A16">
        <v>2200</v>
      </c>
      <c r="B16" t="s">
        <v>707</v>
      </c>
      <c r="C16" s="179">
        <f>ROUND('DOE25'!L204+'DOE25'!L222+'DOE25'!L240+'DOE25'!L283+'DOE25'!L302+'DOE25'!L321,0)</f>
        <v>964750</v>
      </c>
      <c r="D16" s="182">
        <f t="shared" si="0"/>
        <v>2.4</v>
      </c>
    </row>
    <row r="17" spans="1:4" x14ac:dyDescent="0.2">
      <c r="A17" s="183" t="s">
        <v>723</v>
      </c>
      <c r="B17" t="s">
        <v>738</v>
      </c>
      <c r="C17" s="179">
        <f>ROUND('DOE25'!L205+'DOE25'!L210+'DOE25'!L223+'DOE25'!L228+'DOE25'!L241+'DOE25'!L246+'DOE25'!L284+'DOE25'!L289+'DOE25'!L303+'DOE25'!L308+'DOE25'!L322+'DOE25'!L327,0)</f>
        <v>4013353</v>
      </c>
      <c r="D17" s="182">
        <f t="shared" si="0"/>
        <v>9.9</v>
      </c>
    </row>
    <row r="18" spans="1:4" x14ac:dyDescent="0.2">
      <c r="A18">
        <v>2400</v>
      </c>
      <c r="B18" t="s">
        <v>711</v>
      </c>
      <c r="C18" s="179">
        <f>ROUND('DOE25'!L206+'DOE25'!L224+'DOE25'!L242+'DOE25'!L285+'DOE25'!L304+'DOE25'!L323,0)</f>
        <v>2096361</v>
      </c>
      <c r="D18" s="182">
        <f t="shared" si="0"/>
        <v>5.2</v>
      </c>
    </row>
    <row r="19" spans="1:4" x14ac:dyDescent="0.2">
      <c r="A19">
        <v>2500</v>
      </c>
      <c r="B19" t="s">
        <v>708</v>
      </c>
      <c r="C19" s="179">
        <f>ROUND('DOE25'!L207+'DOE25'!L225+'DOE25'!L243+'DOE25'!L286+'DOE25'!L305+'DOE25'!L324,0)</f>
        <v>1198</v>
      </c>
      <c r="D19" s="182">
        <f t="shared" si="0"/>
        <v>0</v>
      </c>
    </row>
    <row r="20" spans="1:4" x14ac:dyDescent="0.2">
      <c r="A20">
        <v>2600</v>
      </c>
      <c r="B20" t="s">
        <v>709</v>
      </c>
      <c r="C20" s="179">
        <f>ROUND('DOE25'!L208+'DOE25'!L226+'DOE25'!L244+'DOE25'!L287+'DOE25'!L306+'DOE25'!L325,0)</f>
        <v>2849114</v>
      </c>
      <c r="D20" s="182">
        <f t="shared" si="0"/>
        <v>7.1</v>
      </c>
    </row>
    <row r="21" spans="1:4" x14ac:dyDescent="0.2">
      <c r="A21">
        <v>2700</v>
      </c>
      <c r="B21" t="s">
        <v>710</v>
      </c>
      <c r="C21" s="179">
        <f>ROUND('DOE25'!L209+'DOE25'!L227+'DOE25'!L245+'DOE25'!L288+'DOE25'!L307+'DOE25'!L326,0)</f>
        <v>1227084</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252735</v>
      </c>
      <c r="D25" s="182">
        <f t="shared" si="0"/>
        <v>0.6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281240.37</v>
      </c>
      <c r="D27" s="182">
        <f t="shared" si="0"/>
        <v>0.7</v>
      </c>
    </row>
    <row r="28" spans="1:4" x14ac:dyDescent="0.2">
      <c r="B28" s="187" t="s">
        <v>719</v>
      </c>
      <c r="C28" s="180">
        <f>SUM(C10:C27)</f>
        <v>40390928.369999997</v>
      </c>
      <c r="D28" s="184">
        <f>ROUND(SUM(D10:D27),0)</f>
        <v>100</v>
      </c>
    </row>
    <row r="29" spans="1:4" x14ac:dyDescent="0.2">
      <c r="A29">
        <v>4000</v>
      </c>
      <c r="B29" t="s">
        <v>724</v>
      </c>
      <c r="C29" s="179">
        <f>ROUND('DOE25'!L256+'DOE25'!L337+'DOE25'!L375+'DOE25'!L376+'DOE25'!L377+'DOE25'!L378+'DOE25'!L379+'DOE25'!L380+'DOE25'!L381,0)</f>
        <v>256892</v>
      </c>
    </row>
    <row r="30" spans="1:4" x14ac:dyDescent="0.2">
      <c r="B30" s="187" t="s">
        <v>725</v>
      </c>
      <c r="C30" s="180">
        <f>SUM(C28:C29)</f>
        <v>40647820.369999997</v>
      </c>
    </row>
    <row r="31" spans="1:4" x14ac:dyDescent="0.2">
      <c r="B31" s="33"/>
      <c r="C31" s="180"/>
    </row>
    <row r="32" spans="1:4" x14ac:dyDescent="0.2">
      <c r="A32">
        <v>5100</v>
      </c>
      <c r="B32" s="33" t="s">
        <v>726</v>
      </c>
      <c r="C32" s="180">
        <f>ROUND('DOE25'!L261+'DOE25'!L342,0)</f>
        <v>1168350</v>
      </c>
    </row>
    <row r="34" spans="1:4" x14ac:dyDescent="0.2">
      <c r="A34" s="187" t="s">
        <v>94</v>
      </c>
      <c r="B34" s="188" t="s">
        <v>1589</v>
      </c>
      <c r="C34" s="181" t="s">
        <v>720</v>
      </c>
      <c r="D34" s="181" t="s">
        <v>721</v>
      </c>
    </row>
    <row r="35" spans="1:4" x14ac:dyDescent="0.2">
      <c r="A35">
        <v>1100</v>
      </c>
      <c r="B35" s="185" t="s">
        <v>727</v>
      </c>
      <c r="C35" s="179">
        <f>ROUND('DOE25'!F60+'DOE25'!G60+'DOE25'!H60+'DOE25'!I60+'DOE25'!J60,0)</f>
        <v>27506548</v>
      </c>
      <c r="D35" s="182">
        <f t="shared" ref="D35:D40" si="1">ROUND((C35/$C$41)*100,1)</f>
        <v>65.599999999999994</v>
      </c>
    </row>
    <row r="36" spans="1:4" x14ac:dyDescent="0.2">
      <c r="B36" s="185" t="s">
        <v>739</v>
      </c>
      <c r="C36" s="179">
        <f>SUM('DOE25'!F112:J112)-SUM('DOE25'!G97:G110)+('DOE25'!F175+'DOE25'!F176+'DOE25'!I175+'DOE25'!I176)-C35</f>
        <v>1634305.4900000021</v>
      </c>
      <c r="D36" s="182">
        <f t="shared" si="1"/>
        <v>3.9</v>
      </c>
    </row>
    <row r="37" spans="1:4" x14ac:dyDescent="0.2">
      <c r="A37" s="183" t="s">
        <v>835</v>
      </c>
      <c r="B37" s="185" t="s">
        <v>728</v>
      </c>
      <c r="C37" s="179">
        <f>ROUND('DOE25'!F117+'DOE25'!F118,0)</f>
        <v>10791245</v>
      </c>
      <c r="D37" s="182">
        <f t="shared" si="1"/>
        <v>25.7</v>
      </c>
    </row>
    <row r="38" spans="1:4" x14ac:dyDescent="0.2">
      <c r="A38" s="183" t="s">
        <v>734</v>
      </c>
      <c r="B38" s="185" t="s">
        <v>729</v>
      </c>
      <c r="C38" s="179">
        <f>ROUND(SUM('DOE25'!F140:J140)-SUM('DOE25'!F117:F119),0)</f>
        <v>647620</v>
      </c>
      <c r="D38" s="182">
        <f t="shared" si="1"/>
        <v>1.5</v>
      </c>
    </row>
    <row r="39" spans="1:4" x14ac:dyDescent="0.2">
      <c r="A39">
        <v>4000</v>
      </c>
      <c r="B39" s="185" t="s">
        <v>730</v>
      </c>
      <c r="C39" s="179">
        <f>ROUND('DOE25'!F170+'DOE25'!G170+'DOE25'!H170+'DOE25'!I170,0)</f>
        <v>1339682</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41919400.490000002</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MILFORD SCHOOL DISTRICT SAU 40</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2020-11-18T19:01:30Z</cp:lastPrinted>
  <dcterms:created xsi:type="dcterms:W3CDTF">1997-12-04T19:04:30Z</dcterms:created>
  <dcterms:modified xsi:type="dcterms:W3CDTF">2020-12-11T18:47:28Z</dcterms:modified>
</cp:coreProperties>
</file>