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10" i="1" l="1"/>
  <c r="F31" i="13" l="1"/>
  <c r="F13" i="13"/>
  <c r="F16" i="13"/>
  <c r="F5" i="13"/>
  <c r="E10" i="13" l="1"/>
  <c r="D9" i="13"/>
  <c r="H155" i="1" l="1"/>
  <c r="H159" i="1"/>
  <c r="K280" i="1"/>
  <c r="I289" i="1"/>
  <c r="H102" i="1"/>
  <c r="I285" i="1"/>
  <c r="I283" i="1"/>
  <c r="I282" i="1"/>
  <c r="F278" i="1"/>
  <c r="H48" i="1"/>
  <c r="H9" i="1"/>
  <c r="H22" i="1"/>
  <c r="H245" i="1"/>
  <c r="H227" i="1"/>
  <c r="H209" i="1"/>
  <c r="G40" i="1"/>
  <c r="G97" i="1"/>
  <c r="F50" i="1"/>
  <c r="H605" i="1"/>
  <c r="I605" i="1"/>
  <c r="J598" i="1"/>
  <c r="J605" i="1"/>
  <c r="J593" i="1"/>
  <c r="H596" i="1"/>
  <c r="G583" i="1"/>
  <c r="I542" i="1"/>
  <c r="K524" i="1"/>
  <c r="K523" i="1"/>
  <c r="I524" i="1"/>
  <c r="I523" i="1"/>
  <c r="H524" i="1"/>
  <c r="H523" i="1"/>
  <c r="G524" i="1"/>
  <c r="G523" i="1"/>
  <c r="F524" i="1"/>
  <c r="F523" i="1"/>
  <c r="K522" i="1"/>
  <c r="I522" i="1"/>
  <c r="H522" i="1"/>
  <c r="G522" i="1"/>
  <c r="F522" i="1"/>
  <c r="J524" i="1"/>
  <c r="J523" i="1"/>
  <c r="J522" i="1"/>
  <c r="J473" i="1"/>
  <c r="G473" i="1"/>
  <c r="G442" i="1"/>
  <c r="H401" i="1"/>
  <c r="F368" i="1" l="1"/>
  <c r="J285" i="1"/>
  <c r="H285" i="1"/>
  <c r="G285" i="1"/>
  <c r="F285" i="1"/>
  <c r="G284" i="1"/>
  <c r="F284" i="1"/>
  <c r="H283" i="1"/>
  <c r="G283" i="1"/>
  <c r="F283" i="1"/>
  <c r="F198" i="1"/>
  <c r="F216" i="1"/>
  <c r="J244" i="1"/>
  <c r="I244" i="1"/>
  <c r="H244" i="1"/>
  <c r="G244" i="1"/>
  <c r="F244" i="1"/>
  <c r="I242" i="1"/>
  <c r="G242" i="1"/>
  <c r="F242" i="1"/>
  <c r="I240" i="1"/>
  <c r="H240" i="1"/>
  <c r="G240" i="1"/>
  <c r="F240" i="1"/>
  <c r="I239" i="1"/>
  <c r="H239" i="1"/>
  <c r="G239" i="1"/>
  <c r="F239" i="1"/>
  <c r="K235" i="1"/>
  <c r="I235" i="1"/>
  <c r="H235" i="1"/>
  <c r="G235" i="1"/>
  <c r="F235" i="1"/>
  <c r="K234" i="1"/>
  <c r="J234" i="1"/>
  <c r="H234" i="1"/>
  <c r="G234" i="1"/>
  <c r="F234" i="1"/>
  <c r="F225" i="1"/>
  <c r="J226" i="1"/>
  <c r="I226" i="1"/>
  <c r="H226" i="1"/>
  <c r="G226" i="1"/>
  <c r="F226" i="1"/>
  <c r="I224" i="1"/>
  <c r="G224" i="1"/>
  <c r="F224" i="1"/>
  <c r="I222" i="1"/>
  <c r="H222" i="1"/>
  <c r="G222" i="1"/>
  <c r="F222" i="1"/>
  <c r="I221" i="1"/>
  <c r="H221" i="1"/>
  <c r="G221" i="1"/>
  <c r="F221" i="1"/>
  <c r="K217" i="1"/>
  <c r="J217" i="1"/>
  <c r="I217" i="1"/>
  <c r="H217" i="1"/>
  <c r="G217" i="1"/>
  <c r="F217" i="1"/>
  <c r="K216" i="1"/>
  <c r="J216" i="1"/>
  <c r="H216" i="1"/>
  <c r="G216" i="1"/>
  <c r="F209" i="1"/>
  <c r="J208" i="1"/>
  <c r="I208" i="1"/>
  <c r="H208" i="1"/>
  <c r="G208" i="1"/>
  <c r="F208" i="1"/>
  <c r="I206" i="1"/>
  <c r="G206" i="1"/>
  <c r="F206" i="1"/>
  <c r="I204" i="1"/>
  <c r="H204" i="1"/>
  <c r="G204" i="1"/>
  <c r="F204" i="1"/>
  <c r="J203" i="1"/>
  <c r="I203" i="1"/>
  <c r="H203" i="1"/>
  <c r="G203" i="1"/>
  <c r="F203" i="1"/>
  <c r="F201" i="1"/>
  <c r="K199" i="1"/>
  <c r="J199" i="1"/>
  <c r="I199" i="1"/>
  <c r="H199" i="1"/>
  <c r="G199" i="1"/>
  <c r="F199" i="1"/>
  <c r="K198" i="1"/>
  <c r="J198" i="1"/>
  <c r="I198" i="1"/>
  <c r="H198" i="1"/>
  <c r="G198" i="1"/>
  <c r="G158" i="1" l="1"/>
  <c r="H154" i="1"/>
  <c r="F117" i="1"/>
  <c r="F63" i="1"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1" i="14"/>
  <c r="C12" i="14"/>
  <c r="C13" i="14"/>
  <c r="C14" i="14"/>
  <c r="C15" i="14"/>
  <c r="C16" i="14"/>
  <c r="C17" i="14"/>
  <c r="C18" i="14"/>
  <c r="C19" i="14"/>
  <c r="C20" i="14"/>
  <c r="B6" i="14"/>
  <c r="C6" i="14" s="1"/>
  <c r="B7" i="14"/>
  <c r="C7" i="14" s="1"/>
  <c r="B8" i="14"/>
  <c r="C8" i="14" s="1"/>
  <c r="B9" i="14"/>
  <c r="C9" i="14" s="1"/>
  <c r="B10" i="14"/>
  <c r="C10" i="14" s="1"/>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27" i="12"/>
  <c r="C27" i="12"/>
  <c r="B31" i="12"/>
  <c r="A31" i="12" s="1"/>
  <c r="C31" i="12"/>
  <c r="B9" i="12"/>
  <c r="B13" i="12"/>
  <c r="C9" i="12"/>
  <c r="C13"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21" i="2"/>
  <c r="E123" i="2"/>
  <c r="E124"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G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36" i="1"/>
  <c r="H639" i="1"/>
  <c r="G641" i="1"/>
  <c r="G644" i="1"/>
  <c r="G645" i="1"/>
  <c r="G646" i="1"/>
  <c r="G653" i="1"/>
  <c r="H653" i="1"/>
  <c r="G654" i="1"/>
  <c r="H654" i="1"/>
  <c r="G655" i="1"/>
  <c r="H655" i="1"/>
  <c r="H656" i="1"/>
  <c r="J656" i="1" s="1"/>
  <c r="G62" i="2"/>
  <c r="J572" i="1"/>
  <c r="I170" i="1"/>
  <c r="G339" i="1"/>
  <c r="G353" i="1" s="1"/>
  <c r="J140" i="1"/>
  <c r="H140" i="1"/>
  <c r="E125" i="2" l="1"/>
  <c r="J652" i="1"/>
  <c r="G553" i="1"/>
  <c r="H409" i="1"/>
  <c r="H645" i="1" s="1"/>
  <c r="L402" i="1"/>
  <c r="C139" i="2" s="1"/>
  <c r="K339" i="1"/>
  <c r="K353" i="1" s="1"/>
  <c r="E119" i="2"/>
  <c r="C125" i="2"/>
  <c r="D15" i="13"/>
  <c r="C15" i="13" s="1"/>
  <c r="E13" i="13"/>
  <c r="C13" i="13" s="1"/>
  <c r="C121" i="2"/>
  <c r="C120" i="2"/>
  <c r="C119" i="2"/>
  <c r="D6" i="13"/>
  <c r="C6" i="13" s="1"/>
  <c r="C11" i="10"/>
  <c r="J258" i="1"/>
  <c r="J272" i="1" s="1"/>
  <c r="C20" i="10"/>
  <c r="C110" i="2"/>
  <c r="H112" i="1"/>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H194" i="1"/>
  <c r="G140" i="1"/>
  <c r="B11" i="16" s="1"/>
  <c r="F140" i="1"/>
  <c r="G63" i="2"/>
  <c r="J619" i="1"/>
  <c r="G42" i="2"/>
  <c r="J51" i="1"/>
  <c r="G16" i="2"/>
  <c r="G18" i="2" s="1"/>
  <c r="J19" i="1"/>
  <c r="G622" i="1" s="1"/>
  <c r="F546" i="1"/>
  <c r="H435" i="1"/>
  <c r="J621" i="1"/>
  <c r="D103" i="2"/>
  <c r="I140" i="1"/>
  <c r="G50" i="2"/>
  <c r="J653" i="1"/>
  <c r="G572" i="1"/>
  <c r="I435" i="1"/>
  <c r="G435" i="1"/>
  <c r="I664" i="1"/>
  <c r="G630" i="1" l="1"/>
  <c r="H469" i="1"/>
  <c r="G637" i="1"/>
  <c r="I473" i="1"/>
  <c r="G647" i="1"/>
  <c r="J469" i="1"/>
  <c r="H661" i="1"/>
  <c r="E128" i="2"/>
  <c r="G24" i="14"/>
  <c r="E145" i="2"/>
  <c r="G36" i="14"/>
  <c r="H36" i="14" s="1"/>
  <c r="I36" i="14" s="1"/>
  <c r="H649" i="1"/>
  <c r="J649" i="1" s="1"/>
  <c r="H665" i="1"/>
  <c r="H668" i="1" s="1"/>
  <c r="F194" i="1"/>
  <c r="F469" i="1" s="1"/>
  <c r="C81" i="2"/>
  <c r="E104" i="2"/>
  <c r="C36" i="10"/>
  <c r="L435" i="1"/>
  <c r="G639" i="1" s="1"/>
  <c r="J639" i="1" s="1"/>
  <c r="F665" i="1"/>
  <c r="F668" i="1" s="1"/>
  <c r="I662" i="1"/>
  <c r="G104" i="2"/>
  <c r="L339" i="1"/>
  <c r="L353" i="1" s="1"/>
  <c r="I194" i="1"/>
  <c r="G636" i="1"/>
  <c r="J636" i="1" s="1"/>
  <c r="G51" i="2"/>
  <c r="D104" i="2"/>
  <c r="L409" i="1"/>
  <c r="C27" i="10"/>
  <c r="C28" i="10" s="1"/>
  <c r="D23" i="10" s="1"/>
  <c r="G4" i="14"/>
  <c r="H4" i="14" s="1"/>
  <c r="I4" i="14" s="1"/>
  <c r="L546" i="1"/>
  <c r="F104" i="2"/>
  <c r="B14" i="16"/>
  <c r="B22" i="16" s="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G194" i="1"/>
  <c r="G627" i="1"/>
  <c r="J52" i="1"/>
  <c r="H622" i="1" s="1"/>
  <c r="J622" i="1" s="1"/>
  <c r="C38" i="10"/>
  <c r="F471" i="1" l="1"/>
  <c r="H628" i="1"/>
  <c r="G628" i="1"/>
  <c r="G631" i="1"/>
  <c r="I469" i="1"/>
  <c r="H471" i="1"/>
  <c r="H630" i="1"/>
  <c r="J630" i="1" s="1"/>
  <c r="I475" i="1"/>
  <c r="H637" i="1"/>
  <c r="J637" i="1" s="1"/>
  <c r="G629" i="1"/>
  <c r="G469" i="1"/>
  <c r="J471" i="1"/>
  <c r="J477" i="1" s="1"/>
  <c r="H627" i="1" s="1"/>
  <c r="J627" i="1" s="1"/>
  <c r="H638" i="1"/>
  <c r="H632" i="1"/>
  <c r="J632" i="1" s="1"/>
  <c r="G633" i="1"/>
  <c r="F473" i="1"/>
  <c r="G634" i="1"/>
  <c r="H473"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628" i="1" l="1"/>
  <c r="J631" i="1"/>
  <c r="H631" i="1"/>
  <c r="I471" i="1"/>
  <c r="I477" i="1" s="1"/>
  <c r="H626" i="1" s="1"/>
  <c r="J626" i="1" s="1"/>
  <c r="G471" i="1"/>
  <c r="G477" i="1" s="1"/>
  <c r="H629" i="1"/>
  <c r="J629" i="1" s="1"/>
  <c r="F475" i="1"/>
  <c r="F477" i="1" s="1"/>
  <c r="H623" i="1" s="1"/>
  <c r="J623" i="1" s="1"/>
  <c r="H633" i="1"/>
  <c r="J633" i="1" s="1"/>
  <c r="H475" i="1"/>
  <c r="H477" i="1" s="1"/>
  <c r="H625" i="1" s="1"/>
  <c r="J625" i="1" s="1"/>
  <c r="H634" i="1"/>
  <c r="J634" i="1" s="1"/>
  <c r="I668" i="1"/>
  <c r="D28" i="10"/>
  <c r="D37" i="10"/>
  <c r="D36" i="10"/>
  <c r="D35" i="10"/>
  <c r="D40" i="10"/>
  <c r="D39" i="10"/>
  <c r="H624" i="1" l="1"/>
  <c r="J624" i="1" s="1"/>
  <c r="B33" i="16"/>
  <c r="H657" i="1"/>
  <c r="D41" i="10"/>
  <c r="B22" i="12" l="1"/>
  <c r="A22" i="12" s="1"/>
  <c r="C22" i="12"/>
  <c r="B40" i="12"/>
  <c r="A40" i="12" s="1"/>
  <c r="C40" i="12"/>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<sst xmlns="http://schemas.openxmlformats.org/spreadsheetml/2006/main" count="5552" uniqueCount="1643">
  <si>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</si>
  <si>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</si>
  <si>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</si>
  <si>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</si>
  <si>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</si>
  <si>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</si>
  <si>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</si>
  <si>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</si>
  <si>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</si>
  <si>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</si>
  <si>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</si>
  <si>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</si>
  <si>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</si>
  <si>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</si>
  <si>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</si>
  <si>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</si>
  <si>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</si>
  <si>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</si>
  <si>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</si>
  <si>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</si>
  <si>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</si>
  <si>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</si>
  <si>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</si>
  <si>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</si>
  <si>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</si>
  <si>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</si>
  <si>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</si>
  <si>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</si>
  <si>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</si>
  <si>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</si>
  <si>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</si>
  <si>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</si>
  <si>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</si>
  <si>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</si>
  <si>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</si>
  <si>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</si>
  <si>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</si>
  <si>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</si>
  <si>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</si>
  <si>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</si>
  <si>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</si>
  <si>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</si>
  <si>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</si>
  <si>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</si>
  <si>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</si>
  <si>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</si>
  <si>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</si>
  <si>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</si>
  <si>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</si>
  <si>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</si>
  <si>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</si>
  <si>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</si>
  <si>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</si>
  <si>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</si>
  <si>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</si>
  <si>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</si>
  <si>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</si>
  <si>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</si>
  <si>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</si>
  <si>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</si>
  <si>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</si>
  <si>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</si>
  <si>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</si>
  <si>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</si>
  <si>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</si>
  <si>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</si>
  <si>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</si>
  <si>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</si>
  <si>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</si>
  <si>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</si>
  <si>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</si>
  <si>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</si>
  <si>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</si>
  <si>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</si>
  <si>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</si>
  <si>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</si>
  <si>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</si>
  <si>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</si>
  <si>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</si>
  <si>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</si>
  <si>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</si>
  <si>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</si>
  <si>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</si>
  <si>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</si>
  <si>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</si>
  <si>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</si>
  <si>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</si>
  <si>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</si>
  <si>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</si>
  <si>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</si>
  <si>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</si>
  <si>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</si>
  <si>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</si>
  <si>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</si>
  <si>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</si>
  <si>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</si>
  <si>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</si>
  <si>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</si>
  <si>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</si>
  <si>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</si>
  <si>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</si>
  <si>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</si>
  <si>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</si>
  <si>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</si>
  <si>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</si>
  <si>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</si>
  <si>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</si>
  <si>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</si>
  <si>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</si>
  <si>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</si>
  <si>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</si>
  <si>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</si>
  <si>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</si>
  <si>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</si>
  <si>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</si>
  <si>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</si>
  <si>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</si>
  <si>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</si>
  <si>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</si>
  <si>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</si>
  <si>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</si>
  <si>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</si>
  <si>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</si>
  <si>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</si>
  <si>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</si>
  <si>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</si>
  <si>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</si>
  <si>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</si>
  <si>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</si>
  <si>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</si>
  <si>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</si>
  <si>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</si>
  <si>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</si>
  <si>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</si>
  <si>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</si>
  <si>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</si>
  <si>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</si>
  <si>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</si>
  <si>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</si>
  <si>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</si>
  <si>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</si>
  <si>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</si>
  <si>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</si>
  <si>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</si>
  <si>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</si>
  <si>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</si>
  <si>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</si>
  <si>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</si>
  <si>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</si>
  <si>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</si>
  <si>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</si>
  <si>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</si>
  <si>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</si>
  <si>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</si>
  <si>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</si>
  <si>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</si>
  <si>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</si>
  <si>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</si>
  <si>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</si>
  <si>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</si>
  <si>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</si>
  <si>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</si>
  <si>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</si>
  <si>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</si>
  <si>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</si>
  <si>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</si>
  <si>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</si>
  <si>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</si>
  <si>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</si>
  <si>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</si>
  <si>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</si>
  <si>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</si>
  <si>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</si>
  <si>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</si>
  <si>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</si>
  <si>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</si>
  <si>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</si>
  <si>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</si>
  <si>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</si>
  <si>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</si>
  <si>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</si>
  <si>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</si>
  <si>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</si>
  <si>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</si>
  <si>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</si>
  <si>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</si>
  <si>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</si>
  <si>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</si>
  <si>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</si>
  <si>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</si>
  <si>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</si>
  <si>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</si>
  <si>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</si>
  <si>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</si>
  <si>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</si>
  <si>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</si>
  <si>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</si>
  <si>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</si>
  <si>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</si>
  <si>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</si>
  <si>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</si>
  <si>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</si>
  <si>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</si>
  <si>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</si>
  <si>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</si>
  <si>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</si>
  <si>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</si>
  <si>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</si>
  <si>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</si>
  <si>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</si>
  <si>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</si>
  <si>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</si>
  <si>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</si>
  <si>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</si>
  <si>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</si>
  <si>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</si>
  <si>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</si>
  <si>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</si>
  <si>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</si>
  <si>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</si>
  <si>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</si>
  <si>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</si>
  <si>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</si>
  <si>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</si>
  <si>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</si>
  <si>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</si>
  <si>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</si>
  <si>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</si>
  <si>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</si>
  <si>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</si>
  <si>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</si>
  <si>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</si>
  <si>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</si>
  <si>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</si>
  <si>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</si>
  <si>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</si>
  <si>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</si>
  <si>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</si>
  <si>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</si>
  <si>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</si>
  <si>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</si>
  <si>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</si>
  <si>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</si>
  <si>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</si>
  <si>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</si>
  <si>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</si>
  <si>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</si>
  <si>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</si>
  <si>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</si>
  <si>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</si>
  <si>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</si>
  <si>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</si>
  <si>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</si>
  <si>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</si>
  <si>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</si>
  <si>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</si>
  <si>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</si>
  <si>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</si>
  <si>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</si>
  <si>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</si>
  <si>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</si>
  <si>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</si>
  <si>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</si>
  <si>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</si>
  <si>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</si>
  <si>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</si>
  <si>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</si>
  <si>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</si>
  <si>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</si>
  <si>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</si>
  <si>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</si>
  <si>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</si>
  <si>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</si>
  <si>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</si>
  <si>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</si>
  <si>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</si>
  <si>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</si>
  <si>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</si>
  <si>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</si>
  <si>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</si>
  <si>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</si>
  <si>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</si>
  <si>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</si>
  <si>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</si>
  <si>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</si>
  <si>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</si>
  <si>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</si>
  <si>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</si>
  <si>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</si>
  <si>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</si>
  <si>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</si>
  <si>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</si>
  <si>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</si>
  <si>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</si>
  <si>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</si>
  <si>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</si>
  <si>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</si>
  <si>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</si>
  <si>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</si>
  <si>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</si>
  <si>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</si>
  <si>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</si>
  <si>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</si>
  <si>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</si>
  <si>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</si>
  <si>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</si>
  <si>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</si>
  <si>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</si>
  <si>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</si>
  <si>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</si>
  <si>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</si>
  <si>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</si>
  <si>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</si>
  <si>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</si>
  <si>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</si>
  <si>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</si>
  <si>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</si>
  <si>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</si>
  <si>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</si>
  <si>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</si>
  <si>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</si>
  <si>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</si>
  <si>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</si>
  <si>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</si>
  <si>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</si>
  <si>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</si>
  <si>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</si>
  <si>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</si>
  <si>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</si>
  <si>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</si>
  <si>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</si>
  <si>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</si>
  <si>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</si>
  <si>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</si>
  <si>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</si>
  <si>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</si>
  <si>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</si>
  <si>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</si>
  <si>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</si>
  <si>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</si>
  <si>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</si>
  <si>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</si>
  <si>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</si>
  <si>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</si>
  <si>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</si>
  <si>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</si>
  <si>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</si>
  <si>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</si>
  <si>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</si>
  <si>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</si>
  <si>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</si>
  <si>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</si>
  <si>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</si>
  <si>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</si>
  <si>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</si>
  <si>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</si>
  <si>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</si>
  <si>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</si>
  <si>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</si>
  <si>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</si>
  <si>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</si>
  <si>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</si>
  <si>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</si>
  <si>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</si>
  <si>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</si>
  <si>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</si>
  <si>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</si>
  <si>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</si>
  <si>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</si>
  <si>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</si>
  <si>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</si>
  <si>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</si>
  <si>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</si>
  <si>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</si>
  <si>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</si>
  <si>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</si>
  <si>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</si>
  <si>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</si>
  <si>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</si>
  <si>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</si>
  <si>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</si>
  <si>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</si>
  <si>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</si>
  <si>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</si>
  <si>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</si>
  <si>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</si>
  <si>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</si>
  <si>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</si>
  <si>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</si>
  <si>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</si>
  <si>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</si>
  <si>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</si>
  <si>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</si>
  <si>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</si>
  <si>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</si>
  <si>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</si>
  <si>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</si>
  <si>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</si>
  <si>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</si>
  <si>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</si>
  <si>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</si>
  <si>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</si>
  <si>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</si>
  <si>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</si>
  <si>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</si>
  <si>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</si>
  <si>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</si>
  <si>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</si>
  <si>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</si>
  <si>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</si>
  <si>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</si>
  <si>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</si>
  <si>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</si>
  <si>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</si>
  <si>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</si>
  <si>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</si>
  <si>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</si>
  <si>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</si>
  <si>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</si>
  <si>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</si>
  <si>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</si>
  <si>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</si>
  <si>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</si>
  <si>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</si>
  <si>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</si>
  <si>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</si>
  <si>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</si>
  <si>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</si>
  <si>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</si>
  <si>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</si>
  <si>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</si>
  <si>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</si>
  <si>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</si>
  <si>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</si>
  <si>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</si>
  <si>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</si>
  <si>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</si>
  <si>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</si>
  <si>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</si>
  <si>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</si>
  <si>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</si>
  <si>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</si>
  <si>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</si>
  <si>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</si>
  <si>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</si>
  <si>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</si>
  <si>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</si>
  <si>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</si>
  <si>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</si>
  <si>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</si>
  <si>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</si>
  <si>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</si>
  <si>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</si>
  <si>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</si>
  <si>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</si>
  <si>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</si>
  <si>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</si>
  <si>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</si>
  <si>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</si>
  <si>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</si>
  <si>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</si>
  <si>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</si>
  <si>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</si>
  <si>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</si>
  <si>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</si>
  <si>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</si>
  <si>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</si>
  <si>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</si>
  <si>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</si>
  <si>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</si>
  <si>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</si>
  <si>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</si>
  <si>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</si>
  <si>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</si>
  <si>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</si>
  <si>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</si>
  <si>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</si>
  <si>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</si>
  <si>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</si>
  <si>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</si>
  <si>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</si>
  <si>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</si>
  <si>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</si>
  <si>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</si>
  <si>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</si>
  <si>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</si>
  <si>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</si>
  <si>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</si>
  <si>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</si>
  <si>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</si>
  <si>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</si>
  <si>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</si>
  <si>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</si>
  <si>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</si>
  <si>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</si>
  <si>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</si>
  <si>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</si>
  <si>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</si>
  <si>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</si>
  <si>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</si>
  <si>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</si>
  <si>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</si>
  <si>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</si>
  <si>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</si>
  <si>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</si>
  <si>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</si>
  <si>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</si>
  <si>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</si>
  <si>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</si>
  <si>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</si>
  <si>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</si>
  <si>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</si>
  <si>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</si>
  <si>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</si>
  <si>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</si>
  <si>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</si>
  <si>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</si>
  <si>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</si>
  <si>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</si>
  <si>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</si>
  <si>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</si>
  <si>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</si>
  <si>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</si>
  <si>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</si>
  <si>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</si>
  <si>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</si>
  <si>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</si>
  <si>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</si>
  <si>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</si>
  <si>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</si>
  <si>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</si>
  <si>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</si>
  <si>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</si>
  <si>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</si>
  <si>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</si>
  <si>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</si>
  <si>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</si>
  <si>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</si>
  <si>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</si>
  <si>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</si>
  <si>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</si>
  <si>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</si>
  <si>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</si>
  <si>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</si>
  <si>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</si>
  <si>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</si>
  <si>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</si>
  <si>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</si>
  <si>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</si>
  <si>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</si>
  <si>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</si>
  <si>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</si>
  <si>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</si>
  <si>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</si>
  <si>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</si>
  <si>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</si>
  <si>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</si>
  <si>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</si>
  <si>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</si>
  <si>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</si>
  <si>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</si>
  <si>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</si>
  <si>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</si>
  <si>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</si>
  <si>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</si>
  <si>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</si>
  <si>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</si>
  <si>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</si>
  <si>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</si>
  <si>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</si>
  <si>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</si>
  <si>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</si>
  <si>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</si>
  <si>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</si>
  <si>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</si>
  <si>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</si>
  <si>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</si>
  <si>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</si>
  <si>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</si>
  <si>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</si>
  <si>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</si>
  <si>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</si>
  <si>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</si>
  <si>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</si>
  <si>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</si>
  <si>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</si>
  <si>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</si>
  <si>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</si>
  <si>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</si>
  <si>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</si>
  <si>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</si>
  <si>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</si>
  <si>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</si>
  <si>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</si>
  <si>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</si>
  <si>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</si>
  <si>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</si>
  <si>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</si>
  <si>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</si>
  <si>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</si>
  <si>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</si>
  <si>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</si>
  <si>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</si>
  <si>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</si>
  <si>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</si>
  <si>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</si>
  <si>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</si>
  <si>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</si>
  <si>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</si>
  <si>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</si>
  <si>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</si>
  <si>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</si>
  <si>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</si>
  <si>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</si>
  <si>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</si>
  <si>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</si>
  <si>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</si>
  <si>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</si>
  <si>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</si>
  <si>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</si>
  <si>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</si>
  <si>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</si>
  <si>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</si>
  <si>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</si>
  <si>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</si>
  <si>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</si>
  <si>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</si>
  <si>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</si>
  <si>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</si>
  <si>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</si>
  <si>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</si>
  <si>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</si>
  <si>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</si>
  <si>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</si>
  <si>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</si>
  <si>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</si>
  <si>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</si>
  <si>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</si>
  <si>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</si>
  <si>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</si>
  <si>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</si>
  <si>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</si>
  <si>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</si>
  <si>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</si>
  <si>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</si>
  <si>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</si>
  <si>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</si>
  <si>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</si>
  <si>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</si>
  <si>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</si>
  <si>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</si>
  <si>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</si>
  <si>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</si>
  <si>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</si>
  <si>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</si>
  <si>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</si>
  <si>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</si>
  <si>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</si>
  <si>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</si>
  <si>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</si>
  <si>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</si>
  <si>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</si>
  <si>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</si>
  <si>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</si>
  <si>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</si>
  <si>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</si>
  <si>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</si>
  <si>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</si>
  <si>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</si>
  <si>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</si>
  <si>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</si>
  <si>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</si>
  <si>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</si>
  <si>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</si>
  <si>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</si>
  <si>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</si>
  <si>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</si>
  <si>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</si>
  <si>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</si>
  <si>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</si>
  <si>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</si>
  <si>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</si>
  <si>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</si>
  <si>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</si>
  <si>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</si>
  <si>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</si>
  <si>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</si>
  <si>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</si>
  <si>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</si>
  <si>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</si>
  <si>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</si>
  <si>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</si>
  <si>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</si>
  <si>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</si>
  <si>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</si>
  <si>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</si>
  <si>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</si>
  <si>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</si>
  <si>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</si>
  <si>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</si>
  <si>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</si>
  <si>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</si>
  <si>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</si>
  <si>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</si>
  <si>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</si>
  <si>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</si>
  <si>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</si>
  <si>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</si>
  <si>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</si>
  <si>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</si>
  <si>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</si>
  <si>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</si>
  <si>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</si>
  <si>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</si>
  <si>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</si>
  <si>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</si>
  <si>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</si>
  <si>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</si>
  <si>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</si>
  <si>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</si>
  <si>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</si>
  <si>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</si>
  <si>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</si>
  <si>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</si>
  <si>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</si>
  <si>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</si>
  <si>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</si>
  <si>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</si>
  <si>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</si>
  <si>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</si>
  <si>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</si>
  <si>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</si>
  <si>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</si>
  <si>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</si>
  <si>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</si>
  <si>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</si>
  <si>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</si>
  <si>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</si>
  <si>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</si>
  <si>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</si>
  <si>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</si>
  <si>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</si>
  <si>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</si>
  <si>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</si>
  <si>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</si>
  <si>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</si>
  <si>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</si>
  <si>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</si>
  <si>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</si>
  <si>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</si>
  <si>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</si>
  <si>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</si>
  <si>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</si>
  <si>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</si>
  <si>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</si>
  <si>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</si>
  <si>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</si>
  <si>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</si>
  <si>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</si>
  <si>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</si>
  <si>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</si>
  <si>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</si>
  <si>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</si>
  <si>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</si>
  <si>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</si>
  <si>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</si>
  <si>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</si>
  <si>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</si>
  <si>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</si>
  <si>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</si>
  <si>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</si>
  <si>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</si>
  <si>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</si>
  <si>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</si>
  <si>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</si>
  <si>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</si>
  <si>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</si>
  <si>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</si>
  <si>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</si>
  <si>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</si>
  <si>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</si>
  <si>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</si>
  <si>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</si>
  <si>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</si>
  <si>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</si>
  <si>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</si>
  <si>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</si>
  <si>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</si>
  <si>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</si>
  <si>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</si>
  <si>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</si>
  <si>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</si>
  <si>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</si>
  <si>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</si>
  <si>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</si>
  <si>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</si>
  <si>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</si>
  <si>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</si>
  <si>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</si>
  <si>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</si>
  <si>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</si>
  <si>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</si>
  <si>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</si>
  <si>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</si>
  <si>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</si>
  <si>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</si>
  <si>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</si>
  <si>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</si>
  <si>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</si>
  <si>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</si>
  <si>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</si>
  <si>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</si>
  <si>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</si>
  <si>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</si>
  <si>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</si>
  <si>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</si>
  <si>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</si>
  <si>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</si>
  <si>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</si>
  <si>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</si>
  <si>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</si>
  <si>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</si>
  <si>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</si>
  <si>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</si>
  <si>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</si>
  <si>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</si>
  <si>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</si>
  <si>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</si>
  <si>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</si>
  <si>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</si>
  <si>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</si>
  <si>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</si>
  <si>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</si>
  <si>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</si>
  <si>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</si>
  <si>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</si>
  <si>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</si>
  <si>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</si>
  <si>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</si>
  <si>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</si>
  <si>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</si>
  <si>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</si>
  <si>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</si>
  <si>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</si>
  <si>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</si>
  <si>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</si>
  <si>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</si>
  <si>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</si>
  <si>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</si>
  <si>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</si>
  <si>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</si>
  <si>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</si>
  <si>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</si>
  <si>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</si>
  <si>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</si>
  <si>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</si>
  <si>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</si>
  <si>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</si>
  <si>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</si>
  <si>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</si>
  <si>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</si>
  <si>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</si>
  <si>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</si>
  <si>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</si>
  <si>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</si>
  <si>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</si>
  <si>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</si>
  <si>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</si>
  <si>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</si>
  <si>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</si>
  <si>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</si>
  <si>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</si>
  <si>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</si>
  <si>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</si>
  <si>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</si>
  <si>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</si>
  <si>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</si>
  <si>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</si>
  <si>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</si>
  <si>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</si>
  <si>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</si>
  <si>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</si>
  <si>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</si>
  <si>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</si>
  <si>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</si>
  <si>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</si>
  <si>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</si>
  <si>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</si>
  <si>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</si>
  <si>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</si>
  <si>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</si>
  <si>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</si>
  <si>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</si>
  <si>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</si>
  <si>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</si>
  <si>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</si>
  <si>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</si>
  <si>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</si>
  <si>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</si>
  <si>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</si>
  <si>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</si>
  <si>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</si>
  <si>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</si>
  <si>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</si>
  <si>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</si>
  <si>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</si>
  <si>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</si>
  <si>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</si>
  <si>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</si>
  <si>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</si>
  <si>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</si>
  <si>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</si>
  <si>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</si>
  <si>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</si>
  <si>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</si>
  <si>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</si>
  <si>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</si>
  <si>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</si>
  <si>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</si>
  <si>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</si>
  <si>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</si>
  <si>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</si>
  <si>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</si>
  <si>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</si>
  <si>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</si>
  <si>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</si>
  <si>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</si>
  <si>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</si>
  <si>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</si>
  <si>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</si>
  <si>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</si>
  <si>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</si>
  <si>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</si>
  <si>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</si>
  <si>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</si>
  <si>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</si>
  <si>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</si>
  <si>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</si>
  <si>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</si>
  <si>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</si>
  <si>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</si>
  <si>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</si>
  <si>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</si>
  <si>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</si>
  <si>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</si>
  <si>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</si>
  <si>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</si>
  <si>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</si>
  <si>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</si>
  <si>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</si>
  <si>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</si>
  <si>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</si>
  <si>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</si>
  <si>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</si>
  <si>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</si>
  <si>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</si>
  <si>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</si>
  <si>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</si>
  <si>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</si>
  <si>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</si>
  <si>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</si>
  <si>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</si>
  <si>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</si>
  <si>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</si>
  <si>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</si>
  <si>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</si>
  <si>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</si>
  <si>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</si>
  <si>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</si>
  <si>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</si>
  <si>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</si>
  <si>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</si>
  <si>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</si>
  <si>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</si>
  <si>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</si>
  <si>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</si>
  <si>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</si>
  <si>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</si>
  <si>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</si>
  <si>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</si>
  <si>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</si>
  <si>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</si>
  <si>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</si>
  <si>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</si>
  <si>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</si>
  <si>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</si>
  <si>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</si>
  <si>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</si>
  <si>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</si>
  <si>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</si>
  <si>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</si>
  <si>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</si>
  <si>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</si>
  <si>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</si>
  <si>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</si>
  <si>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</si>
  <si>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</si>
  <si>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</si>
  <si>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</si>
  <si>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</si>
  <si>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</si>
  <si>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</si>
  <si>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</si>
  <si>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</si>
  <si>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</si>
  <si>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</si>
  <si>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</si>
  <si>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</si>
  <si>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</si>
  <si>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</si>
  <si>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</si>
  <si>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</si>
  <si>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</si>
  <si>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</si>
  <si>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</si>
  <si>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</si>
  <si>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</si>
  <si>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</si>
  <si>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</si>
  <si>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</si>
  <si>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</si>
  <si>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</si>
  <si>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</si>
  <si>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</si>
  <si>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</si>
  <si>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</si>
  <si>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</si>
  <si>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</si>
  <si>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</si>
  <si>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</si>
  <si>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</si>
  <si>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</si>
  <si>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</si>
  <si>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</si>
  <si>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</si>
  <si>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</si>
  <si>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</si>
  <si>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</si>
  <si>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</si>
  <si>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</si>
  <si>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</si>
  <si>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</si>
  <si>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</si>
  <si>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</si>
  <si>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</si>
  <si>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</si>
  <si>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</si>
  <si>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</si>
  <si>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</si>
  <si>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</si>
  <si>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</si>
  <si>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</si>
  <si>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</si>
  <si>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</si>
  <si>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</si>
  <si>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</si>
  <si>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</si>
  <si>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</si>
  <si>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</si>
  <si>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</si>
  <si>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</si>
  <si>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</si>
  <si>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</si>
  <si>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</si>
  <si>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</si>
  <si>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</si>
  <si>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</si>
  <si>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</si>
  <si>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</si>
  <si>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</si>
  <si>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</si>
  <si>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</si>
  <si>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</si>
  <si>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</si>
  <si>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</si>
  <si>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</si>
  <si>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</si>
  <si>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</si>
  <si>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</si>
  <si>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</si>
  <si>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</si>
  <si>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</si>
  <si>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</si>
  <si>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</si>
  <si>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</si>
  <si>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</si>
  <si>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</si>
  <si>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</si>
  <si>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</si>
  <si>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</si>
  <si>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</si>
  <si>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</si>
  <si>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</si>
  <si>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</si>
  <si>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</si>
  <si>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</si>
  <si>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</si>
  <si>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</si>
  <si>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</si>
  <si>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</si>
  <si>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</si>
  <si>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</si>
  <si>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</si>
  <si>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</si>
  <si>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</si>
  <si>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</si>
  <si>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</si>
  <si>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</si>
  <si>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</si>
  <si>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</si>
  <si>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</si>
  <si>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</si>
  <si>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</si>
  <si>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</si>
  <si>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</si>
  <si>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</si>
  <si>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</si>
  <si>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</si>
  <si>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</si>
  <si>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</si>
  <si>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</si>
  <si>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</si>
  <si>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</si>
  <si>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</si>
  <si>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</si>
  <si>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</si>
  <si>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</si>
  <si>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</si>
  <si>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</si>
  <si>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</si>
  <si>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</si>
  <si>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</si>
  <si>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</si>
  <si>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</si>
  <si>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</si>
  <si>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</si>
  <si>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</si>
  <si>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</si>
  <si>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</si>
  <si>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</si>
  <si>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</si>
  <si>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</si>
  <si>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</si>
  <si>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</si>
  <si>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</si>
  <si>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</si>
  <si>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</si>
  <si>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</si>
  <si>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</si>
  <si>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</si>
  <si>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</si>
  <si>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</si>
  <si>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</si>
  <si>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</si>
  <si>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</si>
  <si>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</si>
  <si>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</si>
  <si>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</si>
  <si>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</si>
  <si>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</si>
  <si>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</si>
  <si>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</si>
  <si>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</si>
  <si>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</si>
  <si>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</si>
  <si>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</si>
  <si>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</si>
  <si>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</si>
  <si>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</si>
  <si>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</si>
  <si>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</si>
  <si>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</si>
  <si>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</si>
  <si>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</si>
  <si>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</si>
  <si>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</si>
  <si>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</si>
  <si>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</si>
  <si>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</si>
  <si>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</si>
  <si>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</si>
  <si>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</si>
  <si>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</si>
  <si>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</si>
  <si>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</si>
  <si>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</si>
  <si>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</si>
  <si>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</si>
  <si>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</si>
  <si>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</si>
  <si>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</si>
  <si>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</si>
  <si>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</si>
  <si>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</si>
  <si>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</si>
  <si>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</si>
  <si>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</si>
  <si>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</si>
  <si>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</si>
  <si>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</si>
  <si>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</si>
  <si>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</si>
  <si>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</si>
  <si>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</si>
  <si>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</si>
  <si>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</si>
  <si>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</si>
  <si>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</si>
  <si>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</si>
  <si>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</si>
  <si>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</si>
  <si>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</si>
  <si>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</si>
  <si>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</si>
  <si>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</si>
  <si>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</si>
  <si>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</si>
  <si>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</si>
  <si>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</si>
  <si>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</si>
  <si>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</si>
  <si>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</si>
  <si>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</si>
  <si>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</si>
  <si>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</si>
  <si>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</si>
  <si>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</si>
  <si>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</si>
  <si>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</si>
  <si>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</si>
  <si>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</si>
  <si>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</si>
  <si>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</si>
  <si>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</si>
  <si>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</si>
  <si>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</si>
  <si>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</si>
  <si>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</si>
  <si>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</si>
  <si>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</si>
  <si>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</si>
  <si>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</si>
  <si>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</si>
  <si>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</si>
  <si>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</si>
  <si>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</si>
  <si>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</si>
  <si>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</si>
  <si>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</si>
  <si>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</si>
  <si>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</si>
  <si>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</si>
  <si>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</si>
  <si>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</si>
  <si>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</si>
  <si>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</si>
  <si>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</si>
  <si>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</si>
  <si>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</si>
  <si>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</si>
  <si>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</si>
  <si>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</si>
  <si>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</si>
  <si>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</si>
  <si>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</si>
  <si>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</si>
  <si>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</si>
  <si>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</si>
  <si>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</si>
  <si>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</si>
  <si>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</si>
  <si>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</si>
  <si>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</si>
  <si>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</si>
  <si>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</si>
  <si>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</si>
  <si>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</si>
  <si>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</si>
  <si>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</si>
  <si>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</si>
  <si>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</si>
  <si>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</si>
  <si>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</si>
  <si>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</si>
  <si>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</si>
  <si>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</si>
  <si>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</si>
  <si>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</si>
  <si>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</si>
  <si>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</si>
  <si>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</si>
  <si>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</si>
  <si>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</si>
  <si>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</si>
  <si>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</si>
  <si>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</si>
  <si>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</si>
  <si>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</si>
  <si>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</si>
  <si>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</si>
  <si>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</si>
  <si>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</si>
  <si>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</si>
  <si>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</si>
  <si>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</si>
  <si>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</si>
  <si>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</si>
  <si>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</si>
  <si>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</si>
  <si>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</si>
  <si>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</si>
  <si>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</si>
  <si>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</si>
  <si>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</si>
  <si>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</si>
  <si>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</si>
  <si>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</si>
  <si>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</si>
  <si>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</si>
  <si>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</si>
  <si>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</si>
  <si>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</si>
  <si>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</si>
  <si>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</si>
  <si>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</si>
  <si>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</si>
  <si>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</si>
  <si>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</si>
  <si>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</si>
  <si>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</si>
  <si>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</si>
  <si>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</si>
  <si>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</si>
  <si>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</si>
  <si>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</si>
  <si>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</si>
  <si>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</si>
  <si>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</si>
  <si>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</si>
  <si>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</si>
  <si>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</si>
  <si>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</si>
  <si>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</si>
  <si>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</si>
  <si>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</si>
  <si>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</si>
  <si>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</si>
  <si>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</si>
  <si>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</si>
  <si>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</si>
  <si>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</si>
  <si>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</si>
  <si>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</si>
  <si>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</si>
  <si>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</si>
  <si>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</si>
  <si>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</si>
  <si>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</si>
  <si>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</si>
  <si>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</si>
  <si>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</si>
  <si>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</si>
  <si>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</si>
  <si>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</si>
  <si>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</si>
  <si>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</si>
  <si>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</si>
  <si>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</si>
  <si>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</si>
  <si>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</si>
  <si>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</si>
  <si>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</si>
  <si>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</si>
  <si>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</si>
  <si>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</si>
  <si>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</si>
  <si>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</si>
  <si>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</si>
  <si>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</si>
  <si>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</si>
  <si>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</si>
  <si>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</si>
  <si>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</si>
  <si>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</si>
  <si>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</si>
  <si>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</si>
  <si>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</si>
  <si>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</si>
  <si>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</si>
  <si>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</si>
  <si>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</si>
  <si>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</si>
  <si>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</si>
  <si>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</si>
  <si>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</si>
  <si>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</si>
  <si>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</si>
  <si>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</si>
  <si>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</si>
  <si>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</si>
  <si>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</si>
  <si>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</si>
  <si>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</si>
  <si>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</si>
  <si>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</si>
  <si>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</si>
  <si>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</si>
  <si>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</si>
  <si>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</si>
  <si>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</si>
  <si>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</si>
  <si>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</si>
  <si>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</si>
  <si>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</si>
  <si>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</si>
  <si>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</si>
  <si>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</si>
  <si>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</si>
  <si>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</si>
  <si>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</si>
  <si>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</si>
  <si>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</si>
  <si>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</si>
  <si>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</si>
  <si>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</si>
  <si>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</si>
  <si>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</si>
  <si>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</si>
  <si>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</si>
  <si>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</si>
  <si>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</si>
  <si>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</si>
  <si>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</si>
  <si>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</si>
  <si>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</si>
  <si>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</si>
  <si>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</si>
  <si>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</si>
  <si>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</si>
  <si>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</si>
  <si>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</si>
  <si>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</si>
  <si>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</si>
  <si>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</si>
  <si>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</si>
  <si>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</si>
  <si>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</si>
  <si>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</si>
  <si>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</si>
  <si>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</si>
  <si>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</si>
  <si>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</si>
  <si>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</si>
  <si>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</si>
  <si>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</si>
  <si>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</si>
  <si>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</si>
  <si>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</si>
  <si>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</si>
  <si>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</si>
  <si>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</si>
  <si>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</si>
  <si>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</si>
  <si>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</si>
  <si>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</si>
  <si>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</si>
  <si>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</si>
  <si>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</si>
  <si>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</si>
  <si>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</si>
  <si>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</si>
  <si>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</si>
  <si>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</si>
  <si>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</si>
  <si>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</si>
  <si>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</si>
  <si>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</si>
  <si>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</si>
  <si>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</si>
  <si>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</si>
  <si>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</si>
  <si>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</si>
  <si>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</si>
  <si>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</si>
  <si>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</si>
  <si>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</si>
  <si>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</si>
  <si>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</si>
  <si>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</si>
  <si>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</si>
  <si>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</si>
  <si>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</si>
  <si>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</si>
  <si>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</si>
  <si>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</si>
  <si>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</si>
  <si>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</si>
  <si>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</si>
  <si>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</si>
  <si>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</si>
  <si>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</si>
  <si>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</si>
  <si>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</si>
  <si>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</si>
  <si>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</si>
  <si>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</si>
  <si>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</si>
  <si>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</si>
  <si>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</si>
  <si>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</si>
  <si>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</si>
  <si>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</si>
  <si>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</si>
  <si>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</si>
  <si>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</si>
  <si>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</si>
  <si>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</si>
  <si>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</si>
  <si>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</si>
  <si>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</si>
  <si>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</si>
  <si>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</si>
  <si>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</si>
  <si>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</si>
  <si>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</si>
  <si>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</si>
  <si>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</si>
  <si>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</si>
  <si>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</si>
  <si>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</si>
  <si>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</si>
  <si>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</si>
  <si>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</si>
  <si>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</si>
  <si>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</si>
  <si>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</si>
  <si>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</si>
  <si>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</si>
  <si>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</si>
  <si>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</si>
  <si>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</si>
  <si>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</si>
  <si>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</si>
  <si>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</si>
  <si>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</si>
  <si>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</si>
  <si>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</si>
  <si>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</si>
  <si>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</si>
  <si>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</si>
  <si>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</si>
  <si>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</si>
  <si>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</si>
  <si>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</si>
  <si>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</si>
  <si>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</si>
  <si>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</si>
  <si>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</si>
  <si>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</si>
  <si>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</si>
  <si>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</si>
  <si>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</si>
  <si>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</si>
  <si>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</si>
  <si>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</si>
  <si>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</si>
  <si>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</si>
  <si>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</si>
  <si>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</si>
  <si>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</si>
  <si>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</si>
  <si>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</si>
  <si>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</si>
  <si>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</si>
  <si>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</si>
  <si>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</si>
  <si>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</si>
  <si>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</si>
  <si>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</si>
  <si>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</si>
  <si>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</si>
  <si>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</si>
  <si>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</si>
  <si>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</si>
  <si>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</si>
  <si>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</si>
  <si>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</si>
  <si>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</si>
  <si>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</si>
  <si>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</si>
  <si>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</si>
  <si>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</si>
  <si>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</si>
  <si>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</si>
  <si>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</si>
  <si>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</si>
  <si>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</si>
  <si>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</si>
  <si>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</si>
  <si>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</si>
  <si>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</si>
  <si>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</si>
  <si>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</si>
  <si>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</si>
  <si>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</si>
  <si>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</si>
  <si>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</si>
  <si>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</si>
  <si>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</si>
  <si>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</si>
  <si>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</si>
  <si>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</si>
  <si>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</si>
  <si>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</si>
  <si>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</si>
  <si>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</si>
  <si>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</si>
  <si>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</si>
  <si>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</si>
  <si>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</si>
  <si>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</si>
  <si>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</si>
  <si>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</si>
  <si>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</si>
  <si>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</si>
  <si>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</si>
  <si>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</si>
  <si>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</si>
  <si>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</si>
  <si>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</si>
  <si>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</si>
  <si>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</si>
  <si>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</si>
  <si>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</si>
  <si>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</si>
  <si>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</si>
  <si>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</si>
  <si>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</si>
  <si>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</si>
  <si>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</si>
  <si>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</si>
  <si>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</si>
  <si>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Monadnock Regional School District - SAU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</si>
</sst>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48" zoomScaleNormal="148" workbookViewId="0">
      <pane xSplit="5" ySplit="3" topLeftCell="F651"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363</v>
      </c>
      <c r="C2" s="21">
        <v>363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1253449.1599999999</v>
      </c>
      <c r="G9" s="18">
        <v>196601</v>
      </c>
      <c r="H9" s="18">
        <f>106728+72186</f>
        <v>178914</v>
      </c>
      <c r="I9" s="18">
        <v>889686.78</v>
      </c>
      <c r="J9" s="67">
        <f>SUM(I440)</f>
        <v>0</v>
      </c>
      <c r="K9" s="24" t="s">
        <v>288</v>
      </c>
      <c r="L9" s="24" t="s">
        <v>288</v>
      </c>
      <c r="M9" s="8"/>
      <c r="N9" s="266"/>
    </row>
    <row r="10" spans="1:14" s="3" customFormat="1" ht="12.2" customHeight="1" x14ac:dyDescent="0.15">
      <c r="A10" s="1" t="s">
        <v>562</v>
      </c>
      <c r="B10" s="2" t="s">
        <v>289</v>
      </c>
      <c r="C10" s="6">
        <v>2</v>
      </c>
      <c r="D10" s="2" t="s">
        <v>428</v>
      </c>
      <c r="E10" s="6">
        <v>110</v>
      </c>
      <c r="F10" s="18">
        <v>1051408.8799999999</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317904</v>
      </c>
      <c r="G12" s="18"/>
      <c r="H12" s="18"/>
      <c r="I12" s="18">
        <v>28444</v>
      </c>
      <c r="J12" s="67">
        <f>SUM(I442)</f>
        <v>525037.92999999993</v>
      </c>
      <c r="K12" s="24" t="s">
        <v>288</v>
      </c>
      <c r="L12" s="24" t="s">
        <v>288</v>
      </c>
      <c r="M12" s="8"/>
      <c r="N12" s="266"/>
    </row>
    <row r="13" spans="1:14" s="3" customFormat="1" ht="12.2" customHeight="1" x14ac:dyDescent="0.15">
      <c r="A13" s="1" t="s">
        <v>604</v>
      </c>
      <c r="B13" s="2" t="s">
        <v>289</v>
      </c>
      <c r="C13" s="6">
        <v>5</v>
      </c>
      <c r="D13" s="2" t="s">
        <v>428</v>
      </c>
      <c r="E13" s="6">
        <v>140</v>
      </c>
      <c r="F13" s="18">
        <v>1034587.69</v>
      </c>
      <c r="G13" s="18">
        <v>62199</v>
      </c>
      <c r="H13" s="18">
        <v>547909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1060.3900000000001</v>
      </c>
      <c r="G14" s="18">
        <v>30420</v>
      </c>
      <c r="H14" s="18">
        <v>16619</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21437.25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3658410.12</v>
      </c>
      <c r="G19" s="41">
        <f>SUM(G9:G18)</f>
        <v>310657.25</v>
      </c>
      <c r="H19" s="41">
        <f>SUM(H9:H18)</f>
        <v>743442</v>
      </c>
      <c r="I19" s="41">
        <f>SUM(I9:I18)</f>
        <v>918130.78</v>
      </c>
      <c r="J19" s="41">
        <f>SUM(J9:J18)</f>
        <v>525037.92999999993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58768+501647</f>
        <v>560415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508492</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395851</v>
      </c>
      <c r="G24" s="18">
        <v>34247</v>
      </c>
      <c r="H24" s="18">
        <v>46262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652970</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36816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1557313</v>
      </c>
      <c r="G32" s="41">
        <f>SUM(G22:G31)</f>
        <v>34247</v>
      </c>
      <c r="H32" s="41">
        <f>SUM(H22:H31)</f>
        <v>643493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21437.25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255265-292</f>
        <v>254973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v>918130.78</v>
      </c>
      <c r="J43" s="13">
        <f>SUM(I457)</f>
        <v>0</v>
      </c>
      <c r="K43" s="24" t="s">
        <v>288</v>
      </c>
      <c r="L43" s="24" t="s">
        <v>288</v>
      </c>
      <c r="M43" s="8"/>
      <c r="N43" s="266"/>
    </row>
    <row r="44" spans="1:14" s="3" customFormat="1" ht="12.2" customHeight="1" x14ac:dyDescent="0.15">
      <c r="A44" s="1" t="s">
        <v>837</v>
      </c>
      <c r="B44" s="6">
        <v>1</v>
      </c>
      <c r="C44" s="6">
        <v>30</v>
      </c>
      <c r="D44" s="2" t="s">
        <v>653</v>
      </c>
      <c r="E44" s="6">
        <v>755</v>
      </c>
      <c r="F44" s="18">
        <v>110001</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392381</v>
      </c>
      <c r="G48" s="18"/>
      <c r="H48" s="18">
        <f>45387+19192+35370</f>
        <v>99949</v>
      </c>
      <c r="I48" s="18"/>
      <c r="J48" s="13">
        <f>SUM(I460)</f>
        <v>525037.92999999993</v>
      </c>
      <c r="K48" s="24" t="s">
        <v>288</v>
      </c>
      <c r="L48" s="24" t="s">
        <v>288</v>
      </c>
      <c r="M48" s="8"/>
      <c r="N48" s="266"/>
    </row>
    <row r="49" spans="1:14" s="3" customFormat="1" ht="12.2" customHeight="1" x14ac:dyDescent="0.15">
      <c r="A49" s="1" t="s">
        <v>859</v>
      </c>
      <c r="B49" s="2" t="s">
        <v>289</v>
      </c>
      <c r="C49" s="6">
        <v>34</v>
      </c>
      <c r="D49" s="2"/>
      <c r="E49" s="6">
        <v>753</v>
      </c>
      <c r="F49" s="18">
        <v>27849</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1502001+68864+1.12</f>
        <v>1570866.12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2101097.12</v>
      </c>
      <c r="G51" s="41">
        <f>SUM(G35:G50)</f>
        <v>276410.25</v>
      </c>
      <c r="H51" s="41">
        <f>SUM(H35:H50)</f>
        <v>99949</v>
      </c>
      <c r="I51" s="41">
        <f>SUM(I35:I50)</f>
        <v>918130.78</v>
      </c>
      <c r="J51" s="41">
        <f>SUM(J35:J50)</f>
        <v>525037.92999999993</v>
      </c>
      <c r="K51" s="45" t="s">
        <v>288</v>
      </c>
      <c r="L51" s="45" t="s">
        <v>288</v>
      </c>
      <c r="N51" s="264"/>
    </row>
    <row r="52" spans="1:14" s="3" customFormat="1" ht="12.2" customHeight="1" thickTop="1" x14ac:dyDescent="0.15">
      <c r="A52" s="38" t="s">
        <v>455</v>
      </c>
      <c r="B52" s="39" t="s">
        <v>289</v>
      </c>
      <c r="C52" s="6">
        <v>37</v>
      </c>
      <c r="D52" s="39" t="s">
        <v>653</v>
      </c>
      <c r="E52" s="39"/>
      <c r="F52" s="41">
        <f>F51+F32</f>
        <v>3658410.12</v>
      </c>
      <c r="G52" s="41">
        <f>G51+G32</f>
        <v>310657.25</v>
      </c>
      <c r="H52" s="41">
        <f>H51+H32</f>
        <v>743442</v>
      </c>
      <c r="I52" s="41">
        <f>I51+I32</f>
        <v>918130.78</v>
      </c>
      <c r="J52" s="41">
        <f>J51+J32</f>
        <v>525037.92999999993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18187713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18187713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75.5+21518.75+4880+10662.5</f>
        <v>37136.75</v>
      </c>
      <c r="G63" s="24" t="s">
        <v>288</v>
      </c>
      <c r="H63" s="18">
        <v>200193.02</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540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42163.28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79840.03</v>
      </c>
      <c r="G79" s="45" t="s">
        <v>288</v>
      </c>
      <c r="H79" s="41">
        <f>SUM(H63:H78)</f>
        <v>200193.02</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25251.23</v>
      </c>
      <c r="G96" s="18"/>
      <c r="H96" s="18"/>
      <c r="I96" s="18"/>
      <c r="J96" s="18">
        <v>7784.4</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320852.86+200</f>
        <v>321052.86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7220.15</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2392.75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250+1123.99+998+100+305+1994</f>
        <v>4770.99</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4026.66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868+50+67622.11+111135.75+5742.65</f>
        <v>185418.50999999998</v>
      </c>
      <c r="G110" s="18"/>
      <c r="H110" s="18">
        <v>-0.25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217089.14999999997</v>
      </c>
      <c r="G111" s="41">
        <f>SUM(G96:G110)</f>
        <v>321052.86</v>
      </c>
      <c r="H111" s="41">
        <f>SUM(H96:H110)</f>
        <v>11990.89</v>
      </c>
      <c r="I111" s="41">
        <f>SUM(I96:I110)</f>
        <v>0</v>
      </c>
      <c r="J111" s="41">
        <f>SUM(J96:J110)</f>
        <v>7784.4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18484642.18</v>
      </c>
      <c r="G112" s="41">
        <f>G60+G111</f>
        <v>321052.86</v>
      </c>
      <c r="H112" s="41">
        <f>H60+H79+H94+H111</f>
        <v>212183.90999999997</v>
      </c>
      <c r="I112" s="41">
        <f>I60+I111</f>
        <v>0</v>
      </c>
      <c r="J112" s="41">
        <f>J60+J111</f>
        <v>7784.4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10256954.43+29828</f>
        <v>10286782.43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2330796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15815.77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12633394.199999999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465735.56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4704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12785.65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470439.56</v>
      </c>
      <c r="G136" s="41">
        <f>SUM(G123:G135)</f>
        <v>12785.65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13103833.76</v>
      </c>
      <c r="G140" s="41">
        <f>G121+SUM(G136:G137)</f>
        <v>12785.65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421232.76+47780.08</f>
        <v>469012.84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6196.76+953.7+450+4611.89+0.48+200.46+98659.46+84542.32+0.49+190027.3+30757+1873.39+14689.84+14580+181415.66</f>
        <v>628958.75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319937.94+145995.6+41126.43+3539.82</f>
        <v>510599.79000000004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180964.86+6530.47+38738.01</f>
        <v>226233.34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139144.29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139144.29</v>
      </c>
      <c r="G163" s="41">
        <f>SUM(G150:G162)</f>
        <v>510599.79000000004</v>
      </c>
      <c r="H163" s="41">
        <f>SUM(H150:H162)</f>
        <v>1324204.9300000002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139144.29</v>
      </c>
      <c r="G170" s="41">
        <f>G147+G163+SUM(G164:G169)</f>
        <v>510599.79000000004</v>
      </c>
      <c r="H170" s="41">
        <f>H147+H163+SUM(H164:H169)</f>
        <v>1324204.9300000002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v>1146000</v>
      </c>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1146000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v>28444</v>
      </c>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28444</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1174444</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31727620.229999997</v>
      </c>
      <c r="G194" s="47">
        <f>G112+G140+G170+G193</f>
        <v>844438.3</v>
      </c>
      <c r="H194" s="47">
        <f>H112+H140+H170+H193</f>
        <v>1536388.84</v>
      </c>
      <c r="I194" s="47">
        <f>I112+I140+I170+I193</f>
        <v>1174444</v>
      </c>
      <c r="J194" s="47">
        <f>J112+J140+J193</f>
        <v>7784.4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1451392.84+3641385.75-0.02</f>
        <v>5092778.57</v>
      </c>
      <c r="G198" s="18">
        <f>22261.15+1010980.84</f>
        <v>1033241.99</v>
      </c>
      <c r="H198" s="18">
        <f>70715.35+4131.45</f>
        <v>74846.8</v>
      </c>
      <c r="I198" s="18">
        <f>110318.23</f>
        <v>110318.23</v>
      </c>
      <c r="J198" s="18">
        <f>12130.35+36041.69</f>
        <v>48172.04</v>
      </c>
      <c r="K198" s="18">
        <f>14018.65</f>
        <v>14018.65</v>
      </c>
      <c r="L198" s="19">
        <f>SUM(F198:K198)</f>
        <v>6373376.2800000012</v>
      </c>
      <c r="M198" s="8"/>
      <c r="N198" s="266"/>
    </row>
    <row r="199" spans="1:14" s="3" customFormat="1" ht="12.2" customHeight="1" x14ac:dyDescent="0.15">
      <c r="A199" s="1" t="s">
        <v>439</v>
      </c>
      <c r="B199" s="2" t="s">
        <v>341</v>
      </c>
      <c r="C199" s="2" t="s">
        <v>291</v>
      </c>
      <c r="D199" s="2" t="s">
        <v>431</v>
      </c>
      <c r="E199" s="6">
        <v>1200</v>
      </c>
      <c r="F199" s="18">
        <f>1559184.42+243412.5</f>
        <v>1802596.92</v>
      </c>
      <c r="G199" s="18">
        <f>1121657.51+90311.02</f>
        <v>1211968.53</v>
      </c>
      <c r="H199" s="18">
        <f>10.3+1381886.56</f>
        <v>1381896.86</v>
      </c>
      <c r="I199" s="18">
        <f>6841.33+12966.68</f>
        <v>19808.010000000002</v>
      </c>
      <c r="J199" s="18">
        <f>209.99+396.35</f>
        <v>606.34</v>
      </c>
      <c r="K199" s="18">
        <f>2770.52</f>
        <v>2770.52</v>
      </c>
      <c r="L199" s="19">
        <f>SUM(F199:K199)</f>
        <v>4419647.18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2333.3</f>
        <v>2333.3000000000002</v>
      </c>
      <c r="G201" s="18">
        <v>314.58</v>
      </c>
      <c r="H201" s="18">
        <v>12248.08</v>
      </c>
      <c r="I201" s="18"/>
      <c r="J201" s="18"/>
      <c r="K201" s="18">
        <v>18097.5</v>
      </c>
      <c r="L201" s="19">
        <f>SUM(F201:K201)</f>
        <v>32993.46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389499.76+462996.87</f>
        <v>852496.63</v>
      </c>
      <c r="G203" s="18">
        <f>197835.27+124592.81</f>
        <v>322428.07999999996</v>
      </c>
      <c r="H203" s="18">
        <f>856.57+330</f>
        <v>1186.5700000000002</v>
      </c>
      <c r="I203" s="18">
        <f>7037.89+4593.57</f>
        <v>11631.46</v>
      </c>
      <c r="J203" s="18">
        <f>995</f>
        <v>995</v>
      </c>
      <c r="K203" s="18"/>
      <c r="L203" s="19">
        <f t="shared" ref="L203:L209" si="0">SUM(F203:K203)</f>
        <v>1188737.74</v>
      </c>
      <c r="M203" s="8"/>
      <c r="N203" s="266"/>
    </row>
    <row r="204" spans="1:14" s="3" customFormat="1" ht="12.2" customHeight="1" x14ac:dyDescent="0.15">
      <c r="A204" s="1" t="s">
        <v>443</v>
      </c>
      <c r="B204" s="2" t="s">
        <v>341</v>
      </c>
      <c r="C204" s="2" t="s">
        <v>295</v>
      </c>
      <c r="D204" s="2" t="s">
        <v>431</v>
      </c>
      <c r="E204" s="6">
        <v>2200</v>
      </c>
      <c r="F204" s="18">
        <f>95124.63+90434.9</f>
        <v>185559.53</v>
      </c>
      <c r="G204" s="18">
        <f>37817.93+80640.85</f>
        <v>118458.78</v>
      </c>
      <c r="H204" s="18">
        <f>21308.87</f>
        <v>21308.87</v>
      </c>
      <c r="I204" s="18">
        <f>127547.55+9325.51</f>
        <v>136873.06</v>
      </c>
      <c r="J204" s="18">
        <v>3030.11</v>
      </c>
      <c r="K204" s="18">
        <v>679.71</v>
      </c>
      <c r="L204" s="19">
        <f t="shared" si="0"/>
        <v>465910.06</v>
      </c>
      <c r="M204" s="8"/>
      <c r="N204" s="266"/>
    </row>
    <row r="205" spans="1:14" s="3" customFormat="1" ht="12.2" customHeight="1" x14ac:dyDescent="0.15">
      <c r="A205" s="1" t="s">
        <v>444</v>
      </c>
      <c r="B205" s="2" t="s">
        <v>341</v>
      </c>
      <c r="C205" s="2" t="s">
        <v>296</v>
      </c>
      <c r="D205" s="2" t="s">
        <v>431</v>
      </c>
      <c r="E205" s="6">
        <v>2300</v>
      </c>
      <c r="F205" s="18">
        <v>179613.3</v>
      </c>
      <c r="G205" s="18">
        <v>53219.65</v>
      </c>
      <c r="H205" s="18">
        <v>116025.73</v>
      </c>
      <c r="I205" s="18">
        <v>11979.69</v>
      </c>
      <c r="J205" s="18"/>
      <c r="K205" s="18">
        <v>9637.31</v>
      </c>
      <c r="L205" s="19">
        <f t="shared" si="0"/>
        <v>370475.68</v>
      </c>
      <c r="M205" s="8"/>
      <c r="N205" s="266"/>
    </row>
    <row r="206" spans="1:14" s="3" customFormat="1" ht="12.2" customHeight="1" x14ac:dyDescent="0.15">
      <c r="A206" s="1" t="s">
        <v>445</v>
      </c>
      <c r="B206" s="2" t="s">
        <v>341</v>
      </c>
      <c r="C206" s="2" t="s">
        <v>297</v>
      </c>
      <c r="D206" s="2" t="s">
        <v>431</v>
      </c>
      <c r="E206" s="6">
        <v>2400</v>
      </c>
      <c r="F206" s="18">
        <f>29705.12+648404.07</f>
        <v>678109.19</v>
      </c>
      <c r="G206" s="18">
        <f>5590.47+356558.53</f>
        <v>362149</v>
      </c>
      <c r="H206" s="18">
        <v>47267.16</v>
      </c>
      <c r="I206" s="18">
        <f>6620.23+8911.73</f>
        <v>15531.96</v>
      </c>
      <c r="J206" s="18">
        <v>3788.24</v>
      </c>
      <c r="K206" s="18">
        <v>4291</v>
      </c>
      <c r="L206" s="19">
        <f t="shared" si="0"/>
        <v>1111136.5499999998</v>
      </c>
      <c r="M206" s="8"/>
      <c r="N206" s="266"/>
    </row>
    <row r="207" spans="1:14" s="3" customFormat="1" ht="12.2" customHeight="1" x14ac:dyDescent="0.15">
      <c r="A207" s="1" t="s">
        <v>446</v>
      </c>
      <c r="B207" s="2" t="s">
        <v>341</v>
      </c>
      <c r="C207" s="2" t="s">
        <v>298</v>
      </c>
      <c r="D207" s="2" t="s">
        <v>431</v>
      </c>
      <c r="E207" s="6">
        <v>2500</v>
      </c>
      <c r="F207" s="18">
        <v>179936.91</v>
      </c>
      <c r="G207" s="18">
        <v>171051.39</v>
      </c>
      <c r="H207" s="18">
        <v>115315.09</v>
      </c>
      <c r="I207" s="18"/>
      <c r="J207" s="18">
        <v>6857.07</v>
      </c>
      <c r="K207" s="18">
        <v>981.03</v>
      </c>
      <c r="L207" s="19">
        <f t="shared" si="0"/>
        <v>474141.49000000005</v>
      </c>
      <c r="M207" s="8"/>
      <c r="N207" s="266"/>
    </row>
    <row r="208" spans="1:14" s="3" customFormat="1" ht="12.2" customHeight="1" x14ac:dyDescent="0.15">
      <c r="A208" s="1" t="s">
        <v>447</v>
      </c>
      <c r="B208" s="2" t="s">
        <v>341</v>
      </c>
      <c r="C208" s="2" t="s">
        <v>299</v>
      </c>
      <c r="D208" s="2" t="s">
        <v>431</v>
      </c>
      <c r="E208" s="6">
        <v>2600</v>
      </c>
      <c r="F208" s="18">
        <f>231867.75+306698.16</f>
        <v>538565.90999999992</v>
      </c>
      <c r="G208" s="18">
        <f>110157.69+156260.28</f>
        <v>266417.96999999997</v>
      </c>
      <c r="H208" s="18">
        <f>42760.88+132094.86</f>
        <v>174855.74</v>
      </c>
      <c r="I208" s="18">
        <f>31668.45+293719.54</f>
        <v>325387.99</v>
      </c>
      <c r="J208" s="18">
        <f>44259.38+11298.31</f>
        <v>55557.689999999995</v>
      </c>
      <c r="K208" s="18">
        <v>82.35</v>
      </c>
      <c r="L208" s="19">
        <f t="shared" si="0"/>
        <v>1360867.65</v>
      </c>
      <c r="M208" s="8"/>
      <c r="N208" s="266"/>
    </row>
    <row r="209" spans="1:14" s="3" customFormat="1" ht="12.2" customHeight="1" x14ac:dyDescent="0.15">
      <c r="A209" s="1" t="s">
        <v>448</v>
      </c>
      <c r="B209" s="2" t="s">
        <v>341</v>
      </c>
      <c r="C209" s="2" t="s">
        <v>300</v>
      </c>
      <c r="D209" s="2" t="s">
        <v>431</v>
      </c>
      <c r="E209" s="6">
        <v>2700</v>
      </c>
      <c r="F209" s="18">
        <f>31979.59</f>
        <v>31979.59</v>
      </c>
      <c r="G209" s="18">
        <v>2478.9899999999998</v>
      </c>
      <c r="H209" s="18">
        <f>929248.92-76722.35</f>
        <v>852526.57000000007</v>
      </c>
      <c r="I209" s="18">
        <v>483.46</v>
      </c>
      <c r="J209" s="18">
        <v>44031.87</v>
      </c>
      <c r="K209" s="18"/>
      <c r="L209" s="19">
        <f t="shared" si="0"/>
        <v>931500.48</v>
      </c>
      <c r="M209" s="8"/>
      <c r="N209" s="266"/>
    </row>
    <row r="210" spans="1:14" s="3" customFormat="1" ht="12.2" customHeight="1" x14ac:dyDescent="0.15">
      <c r="A210" s="1" t="s">
        <v>449</v>
      </c>
      <c r="B210" s="2" t="s">
        <v>341</v>
      </c>
      <c r="C210" s="2" t="s">
        <v>343</v>
      </c>
      <c r="D210" s="2" t="s">
        <v>431</v>
      </c>
      <c r="E210" s="6">
        <v>2800</v>
      </c>
      <c r="F210" s="18">
        <v>167542.91</v>
      </c>
      <c r="G210" s="18">
        <v>64713.43</v>
      </c>
      <c r="H210" s="18">
        <v>241100.61</v>
      </c>
      <c r="I210" s="18">
        <v>103528.78</v>
      </c>
      <c r="J210" s="18">
        <v>134235.57</v>
      </c>
      <c r="K210" s="18"/>
      <c r="L210" s="19">
        <f>SUM(F210:K210)</f>
        <v>711121.3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9711512.7599999998</v>
      </c>
      <c r="G212" s="41">
        <f t="shared" si="1"/>
        <v>3606442.39</v>
      </c>
      <c r="H212" s="41">
        <f t="shared" si="1"/>
        <v>3038578.0800000005</v>
      </c>
      <c r="I212" s="41">
        <f t="shared" si="1"/>
        <v>735542.64</v>
      </c>
      <c r="J212" s="41">
        <f t="shared" si="1"/>
        <v>297273.93</v>
      </c>
      <c r="K212" s="41">
        <f t="shared" si="1"/>
        <v>50558.069999999992</v>
      </c>
      <c r="L212" s="41">
        <f t="shared" si="1"/>
        <v>17439907.870000005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333549.91+973513.68</f>
        <v>1307063.5900000001</v>
      </c>
      <c r="G216" s="18">
        <f>5115.92+279005.42</f>
        <v>284121.33999999997</v>
      </c>
      <c r="H216" s="18">
        <f>16251.35+1275.08</f>
        <v>17526.43</v>
      </c>
      <c r="I216" s="18">
        <v>34655.25</v>
      </c>
      <c r="J216" s="18">
        <f>2787.72+16683.57</f>
        <v>19471.29</v>
      </c>
      <c r="K216" s="18">
        <f>3221.68+94.96</f>
        <v>3316.64</v>
      </c>
      <c r="L216" s="19">
        <f>SUM(F216:K216)</f>
        <v>1666154.54</v>
      </c>
      <c r="M216" s="8"/>
      <c r="N216" s="266"/>
    </row>
    <row r="217" spans="1:14" s="3" customFormat="1" ht="12.2" customHeight="1" x14ac:dyDescent="0.15">
      <c r="A217" s="1" t="s">
        <v>439</v>
      </c>
      <c r="B217" s="2" t="s">
        <v>346</v>
      </c>
      <c r="C217" s="2" t="s">
        <v>291</v>
      </c>
      <c r="D217" s="2" t="s">
        <v>431</v>
      </c>
      <c r="E217" s="6">
        <v>1200</v>
      </c>
      <c r="F217" s="18">
        <f>315648.54+55939.52</f>
        <v>371588.06</v>
      </c>
      <c r="G217" s="18">
        <f>168039.55+20754.71</f>
        <v>188794.25999999998</v>
      </c>
      <c r="H217" s="18">
        <f>1503.66+317576.41</f>
        <v>319080.06999999995</v>
      </c>
      <c r="I217" s="18">
        <f>1415.1+2979.92</f>
        <v>4395.0200000000004</v>
      </c>
      <c r="J217" s="18">
        <f>91.09</f>
        <v>91.09</v>
      </c>
      <c r="K217" s="18">
        <f>173.54+636.7</f>
        <v>810.24</v>
      </c>
      <c r="L217" s="19">
        <f>SUM(F217:K217)</f>
        <v>884758.73999999987</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51362.51</v>
      </c>
      <c r="G219" s="18">
        <v>15005.57</v>
      </c>
      <c r="H219" s="18">
        <v>14539.78</v>
      </c>
      <c r="I219" s="18">
        <v>8218.94</v>
      </c>
      <c r="J219" s="18">
        <v>962.98</v>
      </c>
      <c r="K219" s="18">
        <v>3280.43</v>
      </c>
      <c r="L219" s="19">
        <f>SUM(F219:K219)</f>
        <v>93370.209999999992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89512.37+115951.27</f>
        <v>205463.64</v>
      </c>
      <c r="G221" s="18">
        <f>45465.25+36743.85</f>
        <v>82209.100000000006</v>
      </c>
      <c r="H221" s="18">
        <f>196.85+1219.83</f>
        <v>1416.6799999999998</v>
      </c>
      <c r="I221" s="18">
        <f>1617.4+3764.06</f>
        <v>5381.46</v>
      </c>
      <c r="J221" s="18">
        <v>183.36</v>
      </c>
      <c r="K221" s="18">
        <v>2353.4</v>
      </c>
      <c r="L221" s="19">
        <f t="shared" ref="L221:L227" si="2">SUM(F221:K221)</f>
        <v>297007.64</v>
      </c>
      <c r="M221" s="8"/>
      <c r="N221" s="266"/>
    </row>
    <row r="222" spans="1:14" s="3" customFormat="1" ht="12.2" customHeight="1" x14ac:dyDescent="0.15">
      <c r="A222" s="1" t="s">
        <v>443</v>
      </c>
      <c r="B222" s="2" t="s">
        <v>346</v>
      </c>
      <c r="C222" s="2" t="s">
        <v>295</v>
      </c>
      <c r="D222" s="2" t="s">
        <v>431</v>
      </c>
      <c r="E222" s="6">
        <v>2200</v>
      </c>
      <c r="F222" s="18">
        <f>21860.94+25434.27</f>
        <v>47295.21</v>
      </c>
      <c r="G222" s="18">
        <f>8691.08+12012.73</f>
        <v>20703.809999999998</v>
      </c>
      <c r="H222" s="18">
        <f>4897.07+1209.99</f>
        <v>6107.0599999999995</v>
      </c>
      <c r="I222" s="18">
        <f>29312.17+9647.62</f>
        <v>38959.79</v>
      </c>
      <c r="J222" s="18"/>
      <c r="K222" s="18">
        <v>156.21</v>
      </c>
      <c r="L222" s="19">
        <f t="shared" si="2"/>
        <v>113222.08</v>
      </c>
      <c r="M222" s="8"/>
      <c r="N222" s="266"/>
    </row>
    <row r="223" spans="1:14" s="3" customFormat="1" ht="12.2" customHeight="1" x14ac:dyDescent="0.15">
      <c r="A223" s="1" t="s">
        <v>444</v>
      </c>
      <c r="B223" s="2" t="s">
        <v>346</v>
      </c>
      <c r="C223" s="2" t="s">
        <v>296</v>
      </c>
      <c r="D223" s="2" t="s">
        <v>431</v>
      </c>
      <c r="E223" s="6">
        <v>2300</v>
      </c>
      <c r="F223" s="18">
        <v>41277.589999999997</v>
      </c>
      <c r="G223" s="18">
        <v>12230.6</v>
      </c>
      <c r="H223" s="18">
        <v>26664.3</v>
      </c>
      <c r="I223" s="18">
        <v>2753.1</v>
      </c>
      <c r="J223" s="18"/>
      <c r="K223" s="18">
        <v>2727.54</v>
      </c>
      <c r="L223" s="19">
        <f t="shared" si="2"/>
        <v>85653.12999999999</v>
      </c>
      <c r="M223" s="8"/>
      <c r="N223" s="266"/>
    </row>
    <row r="224" spans="1:14" s="3" customFormat="1" ht="12.2" customHeight="1" x14ac:dyDescent="0.15">
      <c r="A224" s="1" t="s">
        <v>445</v>
      </c>
      <c r="B224" s="2" t="s">
        <v>346</v>
      </c>
      <c r="C224" s="2" t="s">
        <v>297</v>
      </c>
      <c r="D224" s="2" t="s">
        <v>431</v>
      </c>
      <c r="E224" s="6">
        <v>2400</v>
      </c>
      <c r="F224" s="18">
        <f>6826.64+125866.49</f>
        <v>132693.13</v>
      </c>
      <c r="G224" s="18">
        <f>1284.77+72175.56</f>
        <v>73460.33</v>
      </c>
      <c r="H224" s="18">
        <v>16812.939999999999</v>
      </c>
      <c r="I224" s="18">
        <f>1521.42+780.96</f>
        <v>2302.38</v>
      </c>
      <c r="J224" s="18">
        <v>36.01</v>
      </c>
      <c r="K224" s="18">
        <v>2005.49</v>
      </c>
      <c r="L224" s="19">
        <f t="shared" si="2"/>
        <v>227310.28000000003</v>
      </c>
      <c r="M224" s="8"/>
      <c r="N224" s="266"/>
    </row>
    <row r="225" spans="1:14" s="3" customFormat="1" ht="12.2" customHeight="1" x14ac:dyDescent="0.15">
      <c r="A225" s="1" t="s">
        <v>446</v>
      </c>
      <c r="B225" s="2" t="s">
        <v>346</v>
      </c>
      <c r="C225" s="2" t="s">
        <v>298</v>
      </c>
      <c r="D225" s="2" t="s">
        <v>431</v>
      </c>
      <c r="E225" s="6">
        <v>2500</v>
      </c>
      <c r="F225" s="18">
        <f>41351.96</f>
        <v>41351.96</v>
      </c>
      <c r="G225" s="18">
        <v>39309.949999999997</v>
      </c>
      <c r="H225" s="18">
        <v>26500.98</v>
      </c>
      <c r="I225" s="18"/>
      <c r="J225" s="18">
        <v>1575.85</v>
      </c>
      <c r="K225" s="18">
        <v>225.45</v>
      </c>
      <c r="L225" s="19">
        <f t="shared" si="2"/>
        <v>108964.19</v>
      </c>
      <c r="M225" s="8"/>
      <c r="N225" s="266"/>
    </row>
    <row r="226" spans="1:14" s="3" customFormat="1" ht="12.2" customHeight="1" x14ac:dyDescent="0.15">
      <c r="A226" s="1" t="s">
        <v>447</v>
      </c>
      <c r="B226" s="2" t="s">
        <v>346</v>
      </c>
      <c r="C226" s="2" t="s">
        <v>299</v>
      </c>
      <c r="D226" s="2" t="s">
        <v>431</v>
      </c>
      <c r="E226" s="6">
        <v>2600</v>
      </c>
      <c r="F226" s="18">
        <f>53286.38+99731.92</f>
        <v>153018.29999999999</v>
      </c>
      <c r="G226" s="18">
        <f>25315.74+52514.29</f>
        <v>77830.03</v>
      </c>
      <c r="H226" s="18">
        <f>9827.03+41179.49</f>
        <v>51006.52</v>
      </c>
      <c r="I226" s="18">
        <f>7277.84+67883.62</f>
        <v>75161.459999999992</v>
      </c>
      <c r="J226" s="18">
        <f>10171.41+5048.37</f>
        <v>15219.779999999999</v>
      </c>
      <c r="K226" s="18">
        <v>18.920000000000002</v>
      </c>
      <c r="L226" s="19">
        <f t="shared" si="2"/>
        <v>372255.00999999995</v>
      </c>
      <c r="M226" s="8"/>
      <c r="N226" s="266"/>
    </row>
    <row r="227" spans="1:14" s="3" customFormat="1" ht="12.2" customHeight="1" x14ac:dyDescent="0.15">
      <c r="A227" s="1" t="s">
        <v>448</v>
      </c>
      <c r="B227" s="2" t="s">
        <v>346</v>
      </c>
      <c r="C227" s="2" t="s">
        <v>300</v>
      </c>
      <c r="D227" s="2" t="s">
        <v>431</v>
      </c>
      <c r="E227" s="6">
        <v>2700</v>
      </c>
      <c r="F227" s="18">
        <v>7349.35</v>
      </c>
      <c r="G227" s="18">
        <v>569.71</v>
      </c>
      <c r="H227" s="18">
        <f>213166.86+18481.97</f>
        <v>231648.83</v>
      </c>
      <c r="I227" s="18">
        <v>111.11</v>
      </c>
      <c r="J227" s="18">
        <v>12461.85</v>
      </c>
      <c r="K227" s="18"/>
      <c r="L227" s="19">
        <f t="shared" si="2"/>
        <v>252140.84999999998</v>
      </c>
      <c r="M227" s="8"/>
      <c r="N227" s="266"/>
    </row>
    <row r="228" spans="1:14" s="3" customFormat="1" ht="12.2" customHeight="1" x14ac:dyDescent="0.15">
      <c r="A228" s="1" t="s">
        <v>449</v>
      </c>
      <c r="B228" s="2" t="s">
        <v>346</v>
      </c>
      <c r="C228" s="2" t="s">
        <v>343</v>
      </c>
      <c r="D228" s="2" t="s">
        <v>431</v>
      </c>
      <c r="E228" s="6">
        <v>2800</v>
      </c>
      <c r="F228" s="18">
        <v>38503.65</v>
      </c>
      <c r="G228" s="18">
        <v>14872.03</v>
      </c>
      <c r="H228" s="18">
        <v>45868.83</v>
      </c>
      <c r="I228" s="18">
        <v>23792.33</v>
      </c>
      <c r="J228" s="18">
        <v>30849.17</v>
      </c>
      <c r="K228" s="18"/>
      <c r="L228" s="19">
        <f>SUM(F228:K228)</f>
        <v>153886.01</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2396966.9900000002</v>
      </c>
      <c r="G230" s="41">
        <f>SUM(G216:G229)</f>
        <v>809106.73</v>
      </c>
      <c r="H230" s="41">
        <f>SUM(H216:H229)</f>
        <v>757172.41999999993</v>
      </c>
      <c r="I230" s="41">
        <f>SUM(I216:I229)</f>
        <v>195730.84000000003</v>
      </c>
      <c r="J230" s="41">
        <f>SUM(J216:J229)</f>
        <v>80851.38</v>
      </c>
      <c r="K230" s="41">
        <f t="shared" si="3"/>
        <v>14894.32</v>
      </c>
      <c r="L230" s="41">
        <f t="shared" si="3"/>
        <v>4254722.68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685129.54+1999649.72</f>
        <v>2684779.26</v>
      </c>
      <c r="G234" s="18">
        <f>10508.37+573092.2</f>
        <v>583600.56999999995</v>
      </c>
      <c r="H234" s="18">
        <f>33381.16+2619.09</f>
        <v>36000.25</v>
      </c>
      <c r="I234" s="18">
        <v>71183.759999999995</v>
      </c>
      <c r="J234" s="18">
        <f>5726.13+34268.94</f>
        <v>39995.07</v>
      </c>
      <c r="K234" s="18">
        <f>6617.5+195.04</f>
        <v>6812.54</v>
      </c>
      <c r="L234" s="19">
        <f>SUM(F234:K234)</f>
        <v>3422371.4499999993</v>
      </c>
      <c r="M234" s="8"/>
      <c r="N234" s="266"/>
    </row>
    <row r="235" spans="1:14" s="3" customFormat="1" ht="12.2" customHeight="1" x14ac:dyDescent="0.15">
      <c r="A235" s="1" t="s">
        <v>439</v>
      </c>
      <c r="B235" s="2" t="s">
        <v>350</v>
      </c>
      <c r="C235" s="2" t="s">
        <v>291</v>
      </c>
      <c r="D235" s="2" t="s">
        <v>431</v>
      </c>
      <c r="E235" s="6">
        <v>1200</v>
      </c>
      <c r="F235" s="18">
        <f>648359.17+114902.8</f>
        <v>763261.97000000009</v>
      </c>
      <c r="G235" s="18">
        <f>345162.33+42631.29</f>
        <v>387793.62</v>
      </c>
      <c r="H235" s="18">
        <f>3088.61+652319.12</f>
        <v>655407.73</v>
      </c>
      <c r="I235" s="18">
        <f>2906.69+6120.92</f>
        <v>9027.61</v>
      </c>
      <c r="J235" s="18">
        <v>187.1</v>
      </c>
      <c r="K235" s="18">
        <f>356.46+1307.82</f>
        <v>1664.28</v>
      </c>
      <c r="L235" s="19">
        <f>SUM(F235:K235)</f>
        <v>1817342.3100000003</v>
      </c>
      <c r="M235" s="8"/>
      <c r="N235" s="266"/>
    </row>
    <row r="236" spans="1:14" s="3" customFormat="1" ht="12.2" customHeight="1" x14ac:dyDescent="0.15">
      <c r="A236" s="1" t="s">
        <v>440</v>
      </c>
      <c r="B236" s="2" t="s">
        <v>350</v>
      </c>
      <c r="C236" s="2" t="s">
        <v>292</v>
      </c>
      <c r="D236" s="2" t="s">
        <v>431</v>
      </c>
      <c r="E236" s="6">
        <v>1300</v>
      </c>
      <c r="F236" s="18"/>
      <c r="G236" s="18"/>
      <c r="H236" s="18">
        <v>56152.480000000003</v>
      </c>
      <c r="I236" s="18"/>
      <c r="J236" s="18"/>
      <c r="K236" s="18"/>
      <c r="L236" s="19">
        <f>SUM(F236:K236)</f>
        <v>56152.480000000003</v>
      </c>
      <c r="M236" s="8"/>
      <c r="N236" s="266"/>
    </row>
    <row r="237" spans="1:14" s="3" customFormat="1" ht="12.2" customHeight="1" x14ac:dyDescent="0.15">
      <c r="A237" s="1" t="s">
        <v>441</v>
      </c>
      <c r="B237" s="2" t="s">
        <v>350</v>
      </c>
      <c r="C237" s="2" t="s">
        <v>293</v>
      </c>
      <c r="D237" s="2" t="s">
        <v>431</v>
      </c>
      <c r="E237" s="6">
        <v>1400</v>
      </c>
      <c r="F237" s="18">
        <v>105501.37</v>
      </c>
      <c r="G237" s="18">
        <v>30822.26</v>
      </c>
      <c r="H237" s="18">
        <v>29865.5</v>
      </c>
      <c r="I237" s="18">
        <v>16882.14</v>
      </c>
      <c r="J237" s="18">
        <v>1978.02</v>
      </c>
      <c r="K237" s="18">
        <v>6738.19</v>
      </c>
      <c r="L237" s="19">
        <f>SUM(F237:K237)</f>
        <v>191787.48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183863.24+238170.17</f>
        <v>422033.41000000003</v>
      </c>
      <c r="G239" s="18">
        <f>93388.08+75473.85</f>
        <v>168861.93</v>
      </c>
      <c r="H239" s="18">
        <f>404.34+2505.59</f>
        <v>2909.9300000000003</v>
      </c>
      <c r="I239" s="18">
        <f>3322.23+7731.59</f>
        <v>11053.82</v>
      </c>
      <c r="J239" s="18">
        <v>376.62</v>
      </c>
      <c r="K239" s="18">
        <v>4834</v>
      </c>
      <c r="L239" s="19">
        <f t="shared" ref="L239:L245" si="4">SUM(F239:K239)</f>
        <v>610069.71000000008</v>
      </c>
      <c r="M239" s="8"/>
      <c r="N239" s="266"/>
    </row>
    <row r="240" spans="1:14" s="3" customFormat="1" ht="12.2" customHeight="1" x14ac:dyDescent="0.15">
      <c r="A240" s="1" t="s">
        <v>443</v>
      </c>
      <c r="B240" s="2" t="s">
        <v>350</v>
      </c>
      <c r="C240" s="2" t="s">
        <v>295</v>
      </c>
      <c r="D240" s="2" t="s">
        <v>431</v>
      </c>
      <c r="E240" s="6">
        <v>2200</v>
      </c>
      <c r="F240" s="18">
        <f>44903.55+52243.38</f>
        <v>97146.93</v>
      </c>
      <c r="G240" s="18">
        <f>17851.94+24674.79</f>
        <v>42526.729999999996</v>
      </c>
      <c r="H240" s="18">
        <f>10058.85+2485.39</f>
        <v>12544.24</v>
      </c>
      <c r="I240" s="18">
        <f>60208.78+19816.73</f>
        <v>80025.509999999995</v>
      </c>
      <c r="J240" s="18"/>
      <c r="K240" s="18">
        <v>320.86</v>
      </c>
      <c r="L240" s="19">
        <f t="shared" si="4"/>
        <v>232564.26999999996</v>
      </c>
      <c r="M240" s="8"/>
      <c r="N240" s="266"/>
    </row>
    <row r="241" spans="1:14" s="3" customFormat="1" ht="12.2" customHeight="1" x14ac:dyDescent="0.15">
      <c r="A241" s="1" t="s">
        <v>444</v>
      </c>
      <c r="B241" s="2" t="s">
        <v>350</v>
      </c>
      <c r="C241" s="2" t="s">
        <v>296</v>
      </c>
      <c r="D241" s="2" t="s">
        <v>431</v>
      </c>
      <c r="E241" s="6">
        <v>2300</v>
      </c>
      <c r="F241" s="18">
        <v>84786.4</v>
      </c>
      <c r="G241" s="18">
        <v>25122.32</v>
      </c>
      <c r="H241" s="18">
        <v>54769.91</v>
      </c>
      <c r="I241" s="18">
        <v>5655.01</v>
      </c>
      <c r="J241" s="18"/>
      <c r="K241" s="18">
        <v>5818.76</v>
      </c>
      <c r="L241" s="19">
        <f t="shared" si="4"/>
        <v>176152.40000000002</v>
      </c>
      <c r="M241" s="8"/>
      <c r="N241" s="266"/>
    </row>
    <row r="242" spans="1:14" s="3" customFormat="1" ht="12.2" customHeight="1" x14ac:dyDescent="0.15">
      <c r="A242" s="1" t="s">
        <v>445</v>
      </c>
      <c r="B242" s="2" t="s">
        <v>350</v>
      </c>
      <c r="C242" s="2" t="s">
        <v>297</v>
      </c>
      <c r="D242" s="2" t="s">
        <v>431</v>
      </c>
      <c r="E242" s="6">
        <v>2400</v>
      </c>
      <c r="F242" s="18">
        <f>14022.29+258536.58</f>
        <v>272558.87</v>
      </c>
      <c r="G242" s="18">
        <f>2638.98+148252.49</f>
        <v>150891.47</v>
      </c>
      <c r="H242" s="18">
        <v>34534.68</v>
      </c>
      <c r="I242" s="18">
        <f>3125.08+1604.12</f>
        <v>4729.2</v>
      </c>
      <c r="J242" s="18">
        <v>73.97</v>
      </c>
      <c r="K242" s="18">
        <v>4119.3900000000003</v>
      </c>
      <c r="L242" s="19">
        <f t="shared" si="4"/>
        <v>466907.57999999996</v>
      </c>
      <c r="M242" s="8"/>
      <c r="N242" s="266"/>
    </row>
    <row r="243" spans="1:14" s="3" customFormat="1" ht="12.2" customHeight="1" x14ac:dyDescent="0.15">
      <c r="A243" s="1" t="s">
        <v>446</v>
      </c>
      <c r="B243" s="2" t="s">
        <v>350</v>
      </c>
      <c r="C243" s="2" t="s">
        <v>298</v>
      </c>
      <c r="D243" s="2" t="s">
        <v>431</v>
      </c>
      <c r="E243" s="6">
        <v>2500</v>
      </c>
      <c r="F243" s="18">
        <v>84939.16</v>
      </c>
      <c r="G243" s="18">
        <v>80744.759999999995</v>
      </c>
      <c r="H243" s="18">
        <v>54434.45</v>
      </c>
      <c r="I243" s="18"/>
      <c r="J243" s="18">
        <v>3236.88</v>
      </c>
      <c r="K243" s="18">
        <v>463.1</v>
      </c>
      <c r="L243" s="19">
        <f t="shared" si="4"/>
        <v>223818.35</v>
      </c>
      <c r="M243" s="8"/>
      <c r="N243" s="266"/>
    </row>
    <row r="244" spans="1:14" s="3" customFormat="1" ht="12.2" customHeight="1" x14ac:dyDescent="0.15">
      <c r="A244" s="1" t="s">
        <v>447</v>
      </c>
      <c r="B244" s="2" t="s">
        <v>350</v>
      </c>
      <c r="C244" s="2" t="s">
        <v>299</v>
      </c>
      <c r="D244" s="2" t="s">
        <v>431</v>
      </c>
      <c r="E244" s="6">
        <v>2600</v>
      </c>
      <c r="F244" s="18">
        <f>109453.1+204854.75</f>
        <v>314307.84999999998</v>
      </c>
      <c r="G244" s="18">
        <f>51999.9+107867.19</f>
        <v>159867.09</v>
      </c>
      <c r="H244" s="18">
        <f>20185.26+84584.91</f>
        <v>104770.17</v>
      </c>
      <c r="I244" s="18">
        <f>14949.08+139436.62</f>
        <v>154385.69999999998</v>
      </c>
      <c r="J244" s="18">
        <f>20892.62+10369.63</f>
        <v>31262.25</v>
      </c>
      <c r="K244" s="18">
        <v>38.869999999999997</v>
      </c>
      <c r="L244" s="19">
        <f t="shared" si="4"/>
        <v>764631.92999999993</v>
      </c>
      <c r="M244" s="8"/>
      <c r="N244" s="266"/>
    </row>
    <row r="245" spans="1:14" s="3" customFormat="1" ht="12.2" customHeight="1" x14ac:dyDescent="0.15">
      <c r="A245" s="1" t="s">
        <v>448</v>
      </c>
      <c r="B245" s="2" t="s">
        <v>350</v>
      </c>
      <c r="C245" s="2" t="s">
        <v>300</v>
      </c>
      <c r="D245" s="2" t="s">
        <v>431</v>
      </c>
      <c r="E245" s="6">
        <v>2700</v>
      </c>
      <c r="F245" s="18">
        <v>15095.95</v>
      </c>
      <c r="G245" s="18">
        <v>1170.21</v>
      </c>
      <c r="H245" s="18">
        <f>439052.26+58240.38</f>
        <v>497292.64</v>
      </c>
      <c r="I245" s="18">
        <v>228.22</v>
      </c>
      <c r="J245" s="18">
        <v>26585.279999999999</v>
      </c>
      <c r="K245" s="18"/>
      <c r="L245" s="19">
        <f t="shared" si="4"/>
        <v>540372.29999999993</v>
      </c>
      <c r="M245" s="8"/>
      <c r="N245" s="266"/>
    </row>
    <row r="246" spans="1:14" s="3" customFormat="1" ht="12.2" customHeight="1" x14ac:dyDescent="0.15">
      <c r="A246" s="1" t="s">
        <v>449</v>
      </c>
      <c r="B246" s="2" t="s">
        <v>350</v>
      </c>
      <c r="C246" s="2" t="s">
        <v>343</v>
      </c>
      <c r="D246" s="2" t="s">
        <v>431</v>
      </c>
      <c r="E246" s="6">
        <v>2800</v>
      </c>
      <c r="F246" s="18">
        <v>79088.58</v>
      </c>
      <c r="G246" s="18">
        <v>30547.95</v>
      </c>
      <c r="H246" s="18">
        <v>94081.4</v>
      </c>
      <c r="I246" s="18">
        <v>48870.73</v>
      </c>
      <c r="J246" s="18">
        <v>63365.86</v>
      </c>
      <c r="K246" s="18"/>
      <c r="L246" s="19">
        <f>SUM(F246:K246)</f>
        <v>315954.52</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4923499.75</v>
      </c>
      <c r="G248" s="41">
        <f t="shared" si="5"/>
        <v>1661948.91</v>
      </c>
      <c r="H248" s="41">
        <f t="shared" si="5"/>
        <v>1632763.38</v>
      </c>
      <c r="I248" s="41">
        <f t="shared" si="5"/>
        <v>402041.69999999995</v>
      </c>
      <c r="J248" s="41">
        <f t="shared" si="5"/>
        <v>167061.04999999999</v>
      </c>
      <c r="K248" s="41">
        <f t="shared" si="5"/>
        <v>30809.989999999994</v>
      </c>
      <c r="L248" s="41">
        <f t="shared" si="5"/>
        <v>8818124.7799999993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17031979.5</v>
      </c>
      <c r="G258" s="41">
        <f t="shared" si="8"/>
        <v>6077498.0300000003</v>
      </c>
      <c r="H258" s="41">
        <f t="shared" si="8"/>
        <v>5428513.8800000008</v>
      </c>
      <c r="I258" s="41">
        <f t="shared" si="8"/>
        <v>1333315.18</v>
      </c>
      <c r="J258" s="41">
        <f t="shared" si="8"/>
        <v>545186.36</v>
      </c>
      <c r="K258" s="41">
        <f t="shared" si="8"/>
        <v>96262.37999999999</v>
      </c>
      <c r="L258" s="41">
        <f t="shared" si="8"/>
        <v>30512755.330000006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1146000</v>
      </c>
      <c r="L266" s="19">
        <f t="shared" si="9"/>
        <v>1146000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1146000</v>
      </c>
      <c r="L271" s="41">
        <f t="shared" si="9"/>
        <v>1146000</v>
      </c>
      <c r="M271" s="8"/>
      <c r="N271" s="266"/>
    </row>
    <row r="272" spans="1:14" s="34" customFormat="1" ht="12.2" customHeight="1" thickTop="1" x14ac:dyDescent="0.2">
      <c r="A272" s="43" t="s">
        <v>464</v>
      </c>
      <c r="B272" s="40">
        <v>10</v>
      </c>
      <c r="C272" s="40">
        <v>18</v>
      </c>
      <c r="D272" s="39" t="s">
        <v>431</v>
      </c>
      <c r="E272" s="40"/>
      <c r="F272" s="42">
        <f t="shared" ref="F272:L272" si="11">F258+F271</f>
        <v>17031979.5</v>
      </c>
      <c r="G272" s="42">
        <f t="shared" si="11"/>
        <v>6077498.0300000003</v>
      </c>
      <c r="H272" s="42">
        <f t="shared" si="11"/>
        <v>5428513.8800000008</v>
      </c>
      <c r="I272" s="42">
        <f t="shared" si="11"/>
        <v>1333315.18</v>
      </c>
      <c r="J272" s="42">
        <f t="shared" si="11"/>
        <v>545186.36</v>
      </c>
      <c r="K272" s="42">
        <f t="shared" si="11"/>
        <v>1242262.3799999999</v>
      </c>
      <c r="L272" s="42">
        <f t="shared" si="11"/>
        <v>31658755.330000006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190059.56</v>
      </c>
      <c r="G277" s="18">
        <v>85657.08</v>
      </c>
      <c r="H277" s="18"/>
      <c r="I277" s="18">
        <v>26414.35</v>
      </c>
      <c r="J277" s="18">
        <v>2687.81</v>
      </c>
      <c r="K277" s="18"/>
      <c r="L277" s="19">
        <f>SUM(F277:K277)</f>
        <v>304818.8</v>
      </c>
      <c r="M277" s="8"/>
      <c r="N277" s="266"/>
    </row>
    <row r="278" spans="1:14" s="3" customFormat="1" ht="12.2" customHeight="1" x14ac:dyDescent="0.15">
      <c r="A278" s="1" t="s">
        <v>439</v>
      </c>
      <c r="B278" s="2" t="s">
        <v>357</v>
      </c>
      <c r="C278" s="2" t="s">
        <v>291</v>
      </c>
      <c r="D278" s="2" t="s">
        <v>431</v>
      </c>
      <c r="E278" s="6">
        <v>1200</v>
      </c>
      <c r="F278" s="18">
        <f>29598.15-0.01</f>
        <v>29598.140000000003</v>
      </c>
      <c r="G278" s="18">
        <v>22987.7</v>
      </c>
      <c r="H278" s="18">
        <v>66488.89</v>
      </c>
      <c r="I278" s="18">
        <v>6132.49</v>
      </c>
      <c r="J278" s="18">
        <v>26255.09</v>
      </c>
      <c r="K278" s="18"/>
      <c r="L278" s="19">
        <f>SUM(F278:K278)</f>
        <v>151462.31000000003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213825.41</v>
      </c>
      <c r="G280" s="18">
        <v>68156.5</v>
      </c>
      <c r="H280" s="18">
        <v>446.23</v>
      </c>
      <c r="I280" s="18">
        <v>25696.880000000001</v>
      </c>
      <c r="J280" s="18">
        <v>2787</v>
      </c>
      <c r="K280" s="18">
        <f>1113.08+14911.8+2725+28299.41+13618.66-0.68</f>
        <v>60667.27</v>
      </c>
      <c r="L280" s="19">
        <f>SUM(F280:K280)</f>
        <v>371579.29000000004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37343.46</v>
      </c>
      <c r="G282" s="18">
        <v>40927.519999999997</v>
      </c>
      <c r="H282" s="18">
        <v>209.62</v>
      </c>
      <c r="I282" s="18">
        <f>1691.89+1038.65</f>
        <v>2730.54</v>
      </c>
      <c r="J282" s="18"/>
      <c r="K282" s="18"/>
      <c r="L282" s="19">
        <f t="shared" ref="L282:L288" si="12">SUM(F282:K282)</f>
        <v>81211.139999999985</v>
      </c>
      <c r="M282" s="8"/>
      <c r="N282" s="266"/>
    </row>
    <row r="283" spans="1:14" s="3" customFormat="1" ht="12.2" customHeight="1" x14ac:dyDescent="0.15">
      <c r="A283" s="1" t="s">
        <v>443</v>
      </c>
      <c r="B283" s="2" t="s">
        <v>357</v>
      </c>
      <c r="C283" s="2" t="s">
        <v>295</v>
      </c>
      <c r="D283" s="2" t="s">
        <v>431</v>
      </c>
      <c r="E283" s="6">
        <v>2200</v>
      </c>
      <c r="F283" s="18">
        <f>38125.41+2545.45</f>
        <v>40670.86</v>
      </c>
      <c r="G283" s="18">
        <f>3187.59+589.98</f>
        <v>3777.57</v>
      </c>
      <c r="H283" s="18">
        <f>14489.89+24637.32</f>
        <v>39127.21</v>
      </c>
      <c r="I283" s="18">
        <f>14645.66+314.4</f>
        <v>14960.06</v>
      </c>
      <c r="J283" s="18">
        <v>3643.31</v>
      </c>
      <c r="K283" s="18"/>
      <c r="L283" s="19">
        <f t="shared" si="12"/>
        <v>102179.01</v>
      </c>
      <c r="M283" s="8"/>
      <c r="N283" s="266"/>
    </row>
    <row r="284" spans="1:14" s="3" customFormat="1" ht="12.2" customHeight="1" x14ac:dyDescent="0.15">
      <c r="A284" s="1" t="s">
        <v>444</v>
      </c>
      <c r="B284" s="2" t="s">
        <v>357</v>
      </c>
      <c r="C284" s="2" t="s">
        <v>296</v>
      </c>
      <c r="D284" s="2" t="s">
        <v>431</v>
      </c>
      <c r="E284" s="6">
        <v>2300</v>
      </c>
      <c r="F284" s="18">
        <f>29501.43+22615.83</f>
        <v>52117.26</v>
      </c>
      <c r="G284" s="18">
        <f>10117.22+15930.55</f>
        <v>26047.769999999997</v>
      </c>
      <c r="H284" s="18"/>
      <c r="I284" s="18">
        <v>120</v>
      </c>
      <c r="J284" s="18"/>
      <c r="K284" s="18"/>
      <c r="L284" s="19">
        <f t="shared" si="12"/>
        <v>78285.03</v>
      </c>
      <c r="M284" s="8"/>
      <c r="N284" s="266"/>
    </row>
    <row r="285" spans="1:14" s="3" customFormat="1" ht="12.2" customHeight="1" x14ac:dyDescent="0.15">
      <c r="A285" s="1" t="s">
        <v>445</v>
      </c>
      <c r="B285" s="2" t="s">
        <v>357</v>
      </c>
      <c r="C285" s="2" t="s">
        <v>297</v>
      </c>
      <c r="D285" s="2" t="s">
        <v>431</v>
      </c>
      <c r="E285" s="6">
        <v>2400</v>
      </c>
      <c r="F285" s="18">
        <f>54823.95+20914.28</f>
        <v>75738.23</v>
      </c>
      <c r="G285" s="18">
        <f>38814.22+7618.37</f>
        <v>46432.590000000004</v>
      </c>
      <c r="H285" s="18">
        <f>2298.91+6.76</f>
        <v>2305.67</v>
      </c>
      <c r="I285" s="18">
        <f>1384.92+2069.25</f>
        <v>3454.17</v>
      </c>
      <c r="J285" s="18">
        <f>1542</f>
        <v>1542</v>
      </c>
      <c r="K285" s="18"/>
      <c r="L285" s="19">
        <f t="shared" si="12"/>
        <v>129472.66</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39465.71</v>
      </c>
      <c r="L286" s="19">
        <f t="shared" si="12"/>
        <v>39465.71</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8077.35</v>
      </c>
      <c r="I288" s="18"/>
      <c r="J288" s="18"/>
      <c r="K288" s="18"/>
      <c r="L288" s="19">
        <f t="shared" si="12"/>
        <v>8077.35</v>
      </c>
      <c r="M288" s="8"/>
      <c r="N288" s="266"/>
    </row>
    <row r="289" spans="1:14" s="3" customFormat="1" ht="12.2" customHeight="1" x14ac:dyDescent="0.15">
      <c r="A289" s="1" t="s">
        <v>449</v>
      </c>
      <c r="B289" s="2" t="s">
        <v>357</v>
      </c>
      <c r="C289" s="2" t="s">
        <v>343</v>
      </c>
      <c r="D289" s="2" t="s">
        <v>431</v>
      </c>
      <c r="E289" s="6">
        <v>2800</v>
      </c>
      <c r="F289" s="18"/>
      <c r="G289" s="18"/>
      <c r="H289" s="18"/>
      <c r="I289" s="18">
        <f>86.7+7103.04+7220</f>
        <v>14409.74</v>
      </c>
      <c r="J289" s="18"/>
      <c r="K289" s="18"/>
      <c r="L289" s="19">
        <f>SUM(F289:K289)</f>
        <v>14409.74</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639352.91999999993</v>
      </c>
      <c r="G291" s="42">
        <f t="shared" si="13"/>
        <v>293986.73</v>
      </c>
      <c r="H291" s="42">
        <f t="shared" si="13"/>
        <v>116654.96999999999</v>
      </c>
      <c r="I291" s="42">
        <f t="shared" si="13"/>
        <v>93918.23000000001</v>
      </c>
      <c r="J291" s="42">
        <f t="shared" si="13"/>
        <v>36915.21</v>
      </c>
      <c r="K291" s="42">
        <f t="shared" si="13"/>
        <v>100132.98</v>
      </c>
      <c r="L291" s="41">
        <f t="shared" si="13"/>
        <v>1280961.04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v>148.5</v>
      </c>
      <c r="I296" s="18"/>
      <c r="J296" s="18">
        <v>617.69000000000005</v>
      </c>
      <c r="K296" s="18"/>
      <c r="L296" s="19">
        <f>SUM(F296:K296)</f>
        <v>766.19</v>
      </c>
      <c r="M296" s="8"/>
      <c r="N296" s="266"/>
    </row>
    <row r="297" spans="1:14" s="3" customFormat="1" ht="12.2" customHeight="1" x14ac:dyDescent="0.15">
      <c r="A297" s="1" t="s">
        <v>439</v>
      </c>
      <c r="B297" s="2" t="s">
        <v>358</v>
      </c>
      <c r="C297" s="2" t="s">
        <v>291</v>
      </c>
      <c r="D297" s="2" t="s">
        <v>431</v>
      </c>
      <c r="E297" s="6">
        <v>1200</v>
      </c>
      <c r="F297" s="18">
        <v>6802.06</v>
      </c>
      <c r="G297" s="18">
        <v>5282.89</v>
      </c>
      <c r="H297" s="18">
        <v>15280.05</v>
      </c>
      <c r="I297" s="18">
        <v>1407.97</v>
      </c>
      <c r="J297" s="18">
        <v>6033.78</v>
      </c>
      <c r="K297" s="18"/>
      <c r="L297" s="19">
        <f>SUM(F297:K297)</f>
        <v>34806.75</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2894.67</v>
      </c>
      <c r="G301" s="18">
        <v>2369.5</v>
      </c>
      <c r="H301" s="18">
        <v>48.17</v>
      </c>
      <c r="I301" s="18">
        <v>238.47</v>
      </c>
      <c r="J301" s="18"/>
      <c r="K301" s="18"/>
      <c r="L301" s="19">
        <f t="shared" ref="L301:L307" si="14">SUM(F301:K301)</f>
        <v>5550.81</v>
      </c>
      <c r="M301" s="8"/>
      <c r="N301" s="266"/>
    </row>
    <row r="302" spans="1:14" s="3" customFormat="1" ht="12.2" customHeight="1" x14ac:dyDescent="0.15">
      <c r="A302" s="1" t="s">
        <v>443</v>
      </c>
      <c r="B302" s="2" t="s">
        <v>358</v>
      </c>
      <c r="C302" s="2" t="s">
        <v>295</v>
      </c>
      <c r="D302" s="2" t="s">
        <v>431</v>
      </c>
      <c r="E302" s="6">
        <v>2200</v>
      </c>
      <c r="F302" s="18">
        <v>584.98</v>
      </c>
      <c r="G302" s="18">
        <v>135.59</v>
      </c>
      <c r="H302" s="18">
        <v>5661.99</v>
      </c>
      <c r="I302" s="18">
        <v>72.180000000000007</v>
      </c>
      <c r="J302" s="18"/>
      <c r="K302" s="18"/>
      <c r="L302" s="19">
        <f t="shared" si="14"/>
        <v>6454.74</v>
      </c>
      <c r="M302" s="8"/>
      <c r="N302" s="266"/>
    </row>
    <row r="303" spans="1:14" s="3" customFormat="1" ht="12.2" customHeight="1" x14ac:dyDescent="0.15">
      <c r="A303" s="1" t="s">
        <v>444</v>
      </c>
      <c r="B303" s="2" t="s">
        <v>358</v>
      </c>
      <c r="C303" s="2" t="s">
        <v>296</v>
      </c>
      <c r="D303" s="2" t="s">
        <v>431</v>
      </c>
      <c r="E303" s="6">
        <v>2300</v>
      </c>
      <c r="F303" s="18">
        <v>6779.83</v>
      </c>
      <c r="G303" s="18">
        <v>2325.0700000000002</v>
      </c>
      <c r="H303" s="18"/>
      <c r="I303" s="18"/>
      <c r="J303" s="18"/>
      <c r="K303" s="18"/>
      <c r="L303" s="19">
        <f t="shared" si="14"/>
        <v>9104.9</v>
      </c>
      <c r="M303" s="8"/>
      <c r="N303" s="266"/>
    </row>
    <row r="304" spans="1:14" s="3" customFormat="1" ht="12.2" customHeight="1" x14ac:dyDescent="0.15">
      <c r="A304" s="1" t="s">
        <v>445</v>
      </c>
      <c r="B304" s="2" t="s">
        <v>358</v>
      </c>
      <c r="C304" s="2" t="s">
        <v>297</v>
      </c>
      <c r="D304" s="2" t="s">
        <v>431</v>
      </c>
      <c r="E304" s="6">
        <v>2400</v>
      </c>
      <c r="F304" s="18">
        <v>4806.3900000000003</v>
      </c>
      <c r="G304" s="18">
        <v>1750.81</v>
      </c>
      <c r="H304" s="18">
        <v>1.55</v>
      </c>
      <c r="I304" s="18">
        <v>475.08</v>
      </c>
      <c r="J304" s="18"/>
      <c r="K304" s="18"/>
      <c r="L304" s="19">
        <f t="shared" si="14"/>
        <v>7033.8300000000008</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v>8983.4699999999993</v>
      </c>
      <c r="L305" s="19">
        <f t="shared" si="14"/>
        <v>8983.4699999999993</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v>1513.86</v>
      </c>
      <c r="I307" s="18"/>
      <c r="J307" s="18"/>
      <c r="K307" s="18"/>
      <c r="L307" s="19">
        <f t="shared" si="14"/>
        <v>1513.86</v>
      </c>
      <c r="M307" s="8"/>
      <c r="N307" s="266"/>
    </row>
    <row r="308" spans="1:14" s="3" customFormat="1" ht="12.2" customHeight="1" x14ac:dyDescent="0.15">
      <c r="A308" s="1" t="s">
        <v>449</v>
      </c>
      <c r="B308" s="2" t="s">
        <v>358</v>
      </c>
      <c r="C308" s="2" t="s">
        <v>343</v>
      </c>
      <c r="D308" s="2" t="s">
        <v>431</v>
      </c>
      <c r="E308" s="6">
        <v>2800</v>
      </c>
      <c r="F308" s="18"/>
      <c r="G308" s="18"/>
      <c r="H308" s="18"/>
      <c r="I308" s="18">
        <v>1630.8</v>
      </c>
      <c r="J308" s="18"/>
      <c r="K308" s="18"/>
      <c r="L308" s="19">
        <f>SUM(F308:K308)</f>
        <v>1630.8</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21867.93</v>
      </c>
      <c r="G310" s="42">
        <f t="shared" si="15"/>
        <v>11863.86</v>
      </c>
      <c r="H310" s="42">
        <f t="shared" si="15"/>
        <v>22654.12</v>
      </c>
      <c r="I310" s="42">
        <f t="shared" si="15"/>
        <v>3824.5</v>
      </c>
      <c r="J310" s="42">
        <f t="shared" si="15"/>
        <v>6651.4699999999993</v>
      </c>
      <c r="K310" s="42">
        <f t="shared" si="15"/>
        <v>8983.4699999999993</v>
      </c>
      <c r="L310" s="41">
        <f t="shared" si="15"/>
        <v>75845.350000000006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v>301.5</v>
      </c>
      <c r="I315" s="18"/>
      <c r="J315" s="18">
        <v>1268.78</v>
      </c>
      <c r="K315" s="18"/>
      <c r="L315" s="19">
        <f>SUM(F315:K315)</f>
        <v>1570.28</v>
      </c>
      <c r="M315" s="8"/>
      <c r="N315" s="266"/>
    </row>
    <row r="316" spans="1:14" s="3" customFormat="1" ht="12.2" customHeight="1" x14ac:dyDescent="0.15">
      <c r="A316" s="1" t="s">
        <v>439</v>
      </c>
      <c r="B316" s="2" t="s">
        <v>359</v>
      </c>
      <c r="C316" s="2" t="s">
        <v>291</v>
      </c>
      <c r="D316" s="2" t="s">
        <v>431</v>
      </c>
      <c r="E316" s="6">
        <v>1200</v>
      </c>
      <c r="F316" s="18">
        <v>13971.8</v>
      </c>
      <c r="G316" s="18">
        <v>10851.34</v>
      </c>
      <c r="H316" s="18">
        <v>31386.06</v>
      </c>
      <c r="I316" s="18">
        <v>2888.94</v>
      </c>
      <c r="J316" s="18">
        <v>12393.71</v>
      </c>
      <c r="K316" s="18"/>
      <c r="L316" s="19">
        <f>SUM(F316:K316)</f>
        <v>71491.850000000006</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5945.8</v>
      </c>
      <c r="G320" s="18">
        <v>4867.09</v>
      </c>
      <c r="H320" s="18">
        <v>98.95</v>
      </c>
      <c r="I320" s="18">
        <v>489.3</v>
      </c>
      <c r="J320" s="18"/>
      <c r="K320" s="18"/>
      <c r="L320" s="19">
        <f t="shared" ref="L320:L326" si="16">SUM(F320:K320)</f>
        <v>11401.14</v>
      </c>
      <c r="M320" s="8"/>
      <c r="N320" s="266"/>
    </row>
    <row r="321" spans="1:14" s="3" customFormat="1" ht="12.2" customHeight="1" x14ac:dyDescent="0.15">
      <c r="A321" s="1" t="s">
        <v>443</v>
      </c>
      <c r="B321" s="2" t="s">
        <v>359</v>
      </c>
      <c r="C321" s="2" t="s">
        <v>295</v>
      </c>
      <c r="D321" s="2" t="s">
        <v>431</v>
      </c>
      <c r="E321" s="6">
        <v>2200</v>
      </c>
      <c r="F321" s="18">
        <v>1201.58</v>
      </c>
      <c r="G321" s="18">
        <v>278.5</v>
      </c>
      <c r="H321" s="18">
        <v>11630.04</v>
      </c>
      <c r="I321" s="18">
        <v>148.12</v>
      </c>
      <c r="J321" s="18"/>
      <c r="K321" s="18"/>
      <c r="L321" s="19">
        <f t="shared" si="16"/>
        <v>13258.240000000002</v>
      </c>
      <c r="M321" s="8"/>
      <c r="N321" s="266"/>
    </row>
    <row r="322" spans="1:14" s="3" customFormat="1" ht="12.2" customHeight="1" x14ac:dyDescent="0.15">
      <c r="A322" s="1" t="s">
        <v>444</v>
      </c>
      <c r="B322" s="2" t="s">
        <v>359</v>
      </c>
      <c r="C322" s="2" t="s">
        <v>296</v>
      </c>
      <c r="D322" s="2" t="s">
        <v>431</v>
      </c>
      <c r="E322" s="6">
        <v>2300</v>
      </c>
      <c r="F322" s="18">
        <v>13926.14</v>
      </c>
      <c r="G322" s="18">
        <v>4775.83</v>
      </c>
      <c r="H322" s="18"/>
      <c r="I322" s="18"/>
      <c r="J322" s="18"/>
      <c r="K322" s="18"/>
      <c r="L322" s="19">
        <f t="shared" si="16"/>
        <v>18701.97</v>
      </c>
      <c r="M322" s="8"/>
      <c r="N322" s="266"/>
    </row>
    <row r="323" spans="1:14" s="3" customFormat="1" ht="12.2" customHeight="1" x14ac:dyDescent="0.15">
      <c r="A323" s="1" t="s">
        <v>445</v>
      </c>
      <c r="B323" s="2" t="s">
        <v>359</v>
      </c>
      <c r="C323" s="2" t="s">
        <v>297</v>
      </c>
      <c r="D323" s="2" t="s">
        <v>431</v>
      </c>
      <c r="E323" s="6">
        <v>2400</v>
      </c>
      <c r="F323" s="18">
        <v>9872.58</v>
      </c>
      <c r="G323" s="18">
        <v>3596.25</v>
      </c>
      <c r="H323" s="18">
        <v>3.19</v>
      </c>
      <c r="I323" s="18">
        <v>974.8</v>
      </c>
      <c r="J323" s="18"/>
      <c r="K323" s="18"/>
      <c r="L323" s="19">
        <f t="shared" si="16"/>
        <v>14446.82</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v>18452.54</v>
      </c>
      <c r="L324" s="19">
        <f t="shared" si="16"/>
        <v>18452.54</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v>3109.56</v>
      </c>
      <c r="I326" s="18"/>
      <c r="J326" s="18"/>
      <c r="K326" s="18"/>
      <c r="L326" s="19">
        <f t="shared" si="16"/>
        <v>3109.56</v>
      </c>
      <c r="M326" s="8"/>
      <c r="N326" s="266"/>
    </row>
    <row r="327" spans="1:14" s="3" customFormat="1" ht="12.2" customHeight="1" x14ac:dyDescent="0.15">
      <c r="A327" s="1" t="s">
        <v>449</v>
      </c>
      <c r="B327" s="2" t="s">
        <v>359</v>
      </c>
      <c r="C327" s="2" t="s">
        <v>343</v>
      </c>
      <c r="D327" s="2" t="s">
        <v>431</v>
      </c>
      <c r="E327" s="6">
        <v>2800</v>
      </c>
      <c r="F327" s="18"/>
      <c r="G327" s="18"/>
      <c r="H327" s="18"/>
      <c r="I327" s="18">
        <v>3346.16</v>
      </c>
      <c r="J327" s="18"/>
      <c r="K327" s="18"/>
      <c r="L327" s="19">
        <f>SUM(F327:K327)</f>
        <v>3346.16</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44917.9</v>
      </c>
      <c r="G329" s="42">
        <f t="shared" si="17"/>
        <v>24369.010000000002</v>
      </c>
      <c r="H329" s="42">
        <f t="shared" si="17"/>
        <v>46529.3</v>
      </c>
      <c r="I329" s="42">
        <f t="shared" si="17"/>
        <v>7847.32</v>
      </c>
      <c r="J329" s="42">
        <f t="shared" si="17"/>
        <v>13662.49</v>
      </c>
      <c r="K329" s="42">
        <f t="shared" si="17"/>
        <v>18452.54</v>
      </c>
      <c r="L329" s="41">
        <f t="shared" si="17"/>
        <v>155778.56000000003</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3676.27</v>
      </c>
      <c r="G334" s="18">
        <v>935.62</v>
      </c>
      <c r="H334" s="18"/>
      <c r="I334" s="18"/>
      <c r="J334" s="18"/>
      <c r="K334" s="18"/>
      <c r="L334" s="19">
        <f t="shared" si="18"/>
        <v>4611.8900000000003</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3676.27</v>
      </c>
      <c r="G338" s="41">
        <f t="shared" si="19"/>
        <v>935.62</v>
      </c>
      <c r="H338" s="41">
        <f t="shared" si="19"/>
        <v>0</v>
      </c>
      <c r="I338" s="41">
        <f t="shared" si="19"/>
        <v>0</v>
      </c>
      <c r="J338" s="41">
        <f t="shared" si="19"/>
        <v>0</v>
      </c>
      <c r="K338" s="41">
        <f t="shared" si="19"/>
        <v>0</v>
      </c>
      <c r="L338" s="41">
        <f t="shared" si="18"/>
        <v>4611.8900000000003</v>
      </c>
      <c r="M338" s="8"/>
      <c r="N338" s="266"/>
    </row>
    <row r="339" spans="1:43" s="3" customFormat="1" ht="12.2" customHeight="1" thickTop="1" x14ac:dyDescent="0.15">
      <c r="A339" s="38" t="s">
        <v>468</v>
      </c>
      <c r="B339" s="40">
        <v>14</v>
      </c>
      <c r="C339" s="40">
        <v>7</v>
      </c>
      <c r="D339" s="39" t="s">
        <v>431</v>
      </c>
      <c r="E339" s="40"/>
      <c r="F339" s="41">
        <f t="shared" ref="F339:L339" si="20">F291+F310+F329+F338</f>
        <v>709815.02</v>
      </c>
      <c r="G339" s="41">
        <f t="shared" si="20"/>
        <v>331155.21999999997</v>
      </c>
      <c r="H339" s="41">
        <f t="shared" si="20"/>
        <v>185838.39</v>
      </c>
      <c r="I339" s="41">
        <f t="shared" si="20"/>
        <v>105590.05000000002</v>
      </c>
      <c r="J339" s="41">
        <f t="shared" si="20"/>
        <v>57229.17</v>
      </c>
      <c r="K339" s="41">
        <f t="shared" si="20"/>
        <v>127568.98999999999</v>
      </c>
      <c r="L339" s="41">
        <f t="shared" si="20"/>
        <v>1517196.84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709815.02</v>
      </c>
      <c r="G353" s="41">
        <f>G339</f>
        <v>331155.21999999997</v>
      </c>
      <c r="H353" s="41">
        <f>H339</f>
        <v>185838.39</v>
      </c>
      <c r="I353" s="41">
        <f>I339</f>
        <v>105590.05000000002</v>
      </c>
      <c r="J353" s="41">
        <f>J339</f>
        <v>57229.17</v>
      </c>
      <c r="K353" s="47">
        <f>K339+K352</f>
        <v>127568.98999999999</v>
      </c>
      <c r="L353" s="41">
        <f>L339+L352</f>
        <v>1517196.84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196979.77</v>
      </c>
      <c r="G359" s="18">
        <v>89411.93</v>
      </c>
      <c r="H359" s="18">
        <v>7809.47</v>
      </c>
      <c r="I359" s="18">
        <v>199842.45</v>
      </c>
      <c r="J359" s="18">
        <v>1160.1199999999999</v>
      </c>
      <c r="K359" s="18">
        <v>1152.24</v>
      </c>
      <c r="L359" s="13">
        <f>SUM(F359:K359)</f>
        <v>496355.97999999992</v>
      </c>
      <c r="M359" s="8"/>
      <c r="N359" s="266"/>
    </row>
    <row r="360" spans="1:22" s="3" customFormat="1" ht="12.2" customHeight="1" x14ac:dyDescent="0.15">
      <c r="A360" s="1" t="s">
        <v>542</v>
      </c>
      <c r="B360" s="2" t="s">
        <v>366</v>
      </c>
      <c r="C360" s="6">
        <v>2</v>
      </c>
      <c r="D360" s="2" t="s">
        <v>431</v>
      </c>
      <c r="E360" s="6"/>
      <c r="F360" s="18">
        <v>45268.639999999999</v>
      </c>
      <c r="G360" s="18">
        <v>20548.080000000002</v>
      </c>
      <c r="H360" s="18">
        <v>1794.72</v>
      </c>
      <c r="I360" s="18">
        <v>45926.53</v>
      </c>
      <c r="J360" s="18">
        <v>266.61</v>
      </c>
      <c r="K360" s="18">
        <v>264.8</v>
      </c>
      <c r="L360" s="19">
        <f>SUM(F360:K360)</f>
        <v>114069.38</v>
      </c>
      <c r="M360" s="8"/>
      <c r="N360" s="266"/>
    </row>
    <row r="361" spans="1:22" s="3" customFormat="1" ht="12.2" customHeight="1" x14ac:dyDescent="0.15">
      <c r="A361" s="3" t="s">
        <v>543</v>
      </c>
      <c r="B361" s="2" t="s">
        <v>366</v>
      </c>
      <c r="C361" s="6">
        <v>3</v>
      </c>
      <c r="D361" s="2" t="s">
        <v>431</v>
      </c>
      <c r="E361" s="6"/>
      <c r="F361" s="18">
        <v>92984.24</v>
      </c>
      <c r="G361" s="18">
        <v>42206.87</v>
      </c>
      <c r="H361" s="18">
        <v>3686.46</v>
      </c>
      <c r="I361" s="18">
        <v>94335.57</v>
      </c>
      <c r="J361" s="18">
        <v>547.64</v>
      </c>
      <c r="K361" s="18">
        <v>543.91</v>
      </c>
      <c r="L361" s="19">
        <f>SUM(F361:K361)</f>
        <v>234304.69000000003</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335232.64999999997</v>
      </c>
      <c r="G363" s="47">
        <f t="shared" si="22"/>
        <v>152166.88</v>
      </c>
      <c r="H363" s="47">
        <f t="shared" si="22"/>
        <v>13290.650000000001</v>
      </c>
      <c r="I363" s="47">
        <f t="shared" si="22"/>
        <v>340104.55000000005</v>
      </c>
      <c r="J363" s="47">
        <f t="shared" si="22"/>
        <v>1974.37</v>
      </c>
      <c r="K363" s="47">
        <f t="shared" si="22"/>
        <v>1960.9499999999998</v>
      </c>
      <c r="L363" s="47">
        <f t="shared" si="22"/>
        <v>844730.04999999993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184358.66-0.01</f>
        <v>184358.65</v>
      </c>
      <c r="G368" s="18">
        <v>42368.14</v>
      </c>
      <c r="H368" s="18">
        <v>87026.45</v>
      </c>
      <c r="I368" s="56">
        <f>SUM(F368:H368)</f>
        <v>313753.24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15483.8</v>
      </c>
      <c r="G369" s="63">
        <v>3558.39</v>
      </c>
      <c r="H369" s="63">
        <v>7309.12</v>
      </c>
      <c r="I369" s="56">
        <f>SUM(F369:H369)</f>
        <v>26351.309999999998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199842.44999999998</v>
      </c>
      <c r="G370" s="47">
        <f>SUM(G368:G369)</f>
        <v>45926.53</v>
      </c>
      <c r="H370" s="47">
        <f>SUM(H368:H369)</f>
        <v>94335.569999999992</v>
      </c>
      <c r="I370" s="47">
        <f>SUM(I368:I369)</f>
        <v>340104.55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962941</v>
      </c>
      <c r="I380" s="18"/>
      <c r="J380" s="18"/>
      <c r="K380" s="18"/>
      <c r="L380" s="13">
        <f t="shared" si="23"/>
        <v>962941</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962941</v>
      </c>
      <c r="I383" s="41">
        <f t="shared" si="24"/>
        <v>0</v>
      </c>
      <c r="J383" s="47">
        <f t="shared" si="24"/>
        <v>0</v>
      </c>
      <c r="K383" s="47">
        <f t="shared" si="24"/>
        <v>0</v>
      </c>
      <c r="L383" s="47">
        <f t="shared" si="24"/>
        <v>962941</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47.6</v>
      </c>
      <c r="I390" s="18"/>
      <c r="J390" s="24" t="s">
        <v>288</v>
      </c>
      <c r="K390" s="24" t="s">
        <v>288</v>
      </c>
      <c r="L390" s="56">
        <f t="shared" si="25"/>
        <v>47.6</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47.6</v>
      </c>
      <c r="I394" s="65">
        <f>SUM(I388:I393)</f>
        <v>0</v>
      </c>
      <c r="J394" s="45" t="s">
        <v>288</v>
      </c>
      <c r="K394" s="45" t="s">
        <v>288</v>
      </c>
      <c r="L394" s="47">
        <f>SUM(L388:L393)</f>
        <v>47.6</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v>936.76</v>
      </c>
      <c r="I396" s="18"/>
      <c r="J396" s="24" t="s">
        <v>288</v>
      </c>
      <c r="K396" s="24" t="s">
        <v>288</v>
      </c>
      <c r="L396" s="56">
        <f t="shared" ref="L396:L401" si="26">SUM(F396:K396)</f>
        <v>936.76</v>
      </c>
      <c r="M396" s="8"/>
      <c r="N396" s="266"/>
    </row>
    <row r="397" spans="1:14" s="3" customFormat="1" ht="12.2" customHeight="1" x14ac:dyDescent="0.15">
      <c r="A397" s="79" t="s">
        <v>557</v>
      </c>
      <c r="B397" s="2" t="s">
        <v>381</v>
      </c>
      <c r="C397" s="6">
        <v>9</v>
      </c>
      <c r="D397" s="2" t="s">
        <v>432</v>
      </c>
      <c r="E397" s="6"/>
      <c r="F397" s="18"/>
      <c r="G397" s="18"/>
      <c r="H397" s="18">
        <v>989.75</v>
      </c>
      <c r="I397" s="18"/>
      <c r="J397" s="24" t="s">
        <v>288</v>
      </c>
      <c r="K397" s="24" t="s">
        <v>288</v>
      </c>
      <c r="L397" s="56">
        <f t="shared" si="26"/>
        <v>989.75</v>
      </c>
      <c r="M397" s="8"/>
      <c r="N397" s="266"/>
    </row>
    <row r="398" spans="1:14" s="3" customFormat="1" ht="12.2" customHeight="1" x14ac:dyDescent="0.15">
      <c r="A398" s="79" t="s">
        <v>515</v>
      </c>
      <c r="B398" s="2" t="s">
        <v>381</v>
      </c>
      <c r="C398" s="6">
        <v>10</v>
      </c>
      <c r="D398" s="2" t="s">
        <v>432</v>
      </c>
      <c r="E398" s="6"/>
      <c r="F398" s="18"/>
      <c r="G398" s="18"/>
      <c r="H398" s="18">
        <v>4950.8500000000004</v>
      </c>
      <c r="I398" s="18"/>
      <c r="J398" s="24" t="s">
        <v>288</v>
      </c>
      <c r="K398" s="24" t="s">
        <v>288</v>
      </c>
      <c r="L398" s="56">
        <f t="shared" si="26"/>
        <v>4950.8500000000004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f>859.02+0.42</f>
        <v>859.43999999999994</v>
      </c>
      <c r="I401" s="18"/>
      <c r="J401" s="24" t="s">
        <v>288</v>
      </c>
      <c r="K401" s="24" t="s">
        <v>288</v>
      </c>
      <c r="L401" s="56">
        <f t="shared" si="26"/>
        <v>859.43999999999994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7736.8</v>
      </c>
      <c r="I402" s="47">
        <f>SUM(I396:I401)</f>
        <v>0</v>
      </c>
      <c r="J402" s="45" t="s">
        <v>288</v>
      </c>
      <c r="K402" s="45" t="s">
        <v>288</v>
      </c>
      <c r="L402" s="47">
        <f>SUM(L396:L401)</f>
        <v>7736.8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7784.4000000000005</v>
      </c>
      <c r="I409" s="47">
        <f>I394+I402+I408</f>
        <v>0</v>
      </c>
      <c r="J409" s="24" t="s">
        <v>288</v>
      </c>
      <c r="K409" s="24" t="s">
        <v>288</v>
      </c>
      <c r="L409" s="47">
        <f>L394+L402+L408</f>
        <v>7784.4000000000005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3210.39</v>
      </c>
      <c r="G442" s="18">
        <f>57938.57+27.61+63182.59+66756.01+333922.76</f>
        <v>521827.54</v>
      </c>
      <c r="H442" s="18"/>
      <c r="I442" s="56">
        <f t="shared" si="33"/>
        <v>525037.92999999993</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3210.39</v>
      </c>
      <c r="G447" s="13">
        <f>SUM(G440:G446)</f>
        <v>521827.54</v>
      </c>
      <c r="H447" s="13">
        <f>SUM(H440:H446)</f>
        <v>0</v>
      </c>
      <c r="I447" s="13">
        <f>SUM(I440:I446)</f>
        <v>525037.92999999993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3210.39</v>
      </c>
      <c r="G460" s="18">
        <v>521827.54</v>
      </c>
      <c r="H460" s="18"/>
      <c r="I460" s="56">
        <f t="shared" si="34"/>
        <v>525037.92999999993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3210.39</v>
      </c>
      <c r="G461" s="83">
        <f>SUM(G455:G460)</f>
        <v>521827.54</v>
      </c>
      <c r="H461" s="83">
        <f>SUM(H455:H460)</f>
        <v>0</v>
      </c>
      <c r="I461" s="83">
        <f>SUM(I455:I460)</f>
        <v>525037.92999999993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3210.39</v>
      </c>
      <c r="G462" s="42">
        <f>G453+G461</f>
        <v>521827.54</v>
      </c>
      <c r="H462" s="42">
        <f>H453+H461</f>
        <v>0</v>
      </c>
      <c r="I462" s="42">
        <f>I453+I461</f>
        <v>525037.92999999993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2032232.22</v>
      </c>
      <c r="G466" s="18">
        <v>276702</v>
      </c>
      <c r="H466" s="18">
        <v>80757</v>
      </c>
      <c r="I466" s="18">
        <v>706627.78</v>
      </c>
      <c r="J466" s="18">
        <v>517253.53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31727620.229999997</v>
      </c>
      <c r="G469" s="18">
        <f t="shared" ref="G469:J469" si="35">G194</f>
        <v>844438.3</v>
      </c>
      <c r="H469" s="18">
        <f t="shared" si="35"/>
        <v>1536388.84</v>
      </c>
      <c r="I469" s="18">
        <f t="shared" si="35"/>
        <v>1174444</v>
      </c>
      <c r="J469" s="18">
        <f t="shared" si="35"/>
        <v>7784.4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31727620.229999997</v>
      </c>
      <c r="G471" s="53">
        <f>SUM(G469:G470)</f>
        <v>844438.3</v>
      </c>
      <c r="H471" s="53">
        <f>SUM(H469:H470)</f>
        <v>1536388.84</v>
      </c>
      <c r="I471" s="53">
        <f>SUM(I469:I470)</f>
        <v>1174444</v>
      </c>
      <c r="J471" s="53">
        <f>SUM(J469:J470)</f>
        <v>7784.4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31658755.330000006</v>
      </c>
      <c r="G473" s="18">
        <f>L363</f>
        <v>844730.04999999993</v>
      </c>
      <c r="H473" s="18">
        <f>L353</f>
        <v>1517196.84</v>
      </c>
      <c r="I473" s="18">
        <f>L383</f>
        <v>962941</v>
      </c>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31658755.330000006</v>
      </c>
      <c r="G475" s="53">
        <f>SUM(G473:G474)</f>
        <v>844730.04999999993</v>
      </c>
      <c r="H475" s="53">
        <f>SUM(H473:H474)</f>
        <v>1517196.84</v>
      </c>
      <c r="I475" s="53">
        <f>SUM(I473:I474)</f>
        <v>962941</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2101097.1199999899</v>
      </c>
      <c r="G477" s="53">
        <f>(G466+G471)- G475</f>
        <v>276410.25000000012</v>
      </c>
      <c r="H477" s="53">
        <f>(H466+H471)- H475</f>
        <v>99949</v>
      </c>
      <c r="I477" s="53">
        <f>(I466+I471)- I475</f>
        <v>918130.78</v>
      </c>
      <c r="J477" s="53">
        <f>(J466+J471)- J475</f>
        <v>525037.93000000005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F199+F316-84186.03</f>
        <v>1732382.69</v>
      </c>
      <c r="G522" s="18">
        <f>G199+G316-42350.62</f>
        <v>1180469.25</v>
      </c>
      <c r="H522" s="18">
        <f>H199+H316-2785.2</f>
        <v>1410497.7200000002</v>
      </c>
      <c r="I522" s="18">
        <f>I199+I316-179.89</f>
        <v>22517.06</v>
      </c>
      <c r="J522" s="18">
        <f t="shared" ref="J522" si="37">J199+J316</f>
        <v>13000.05</v>
      </c>
      <c r="K522" s="18">
        <f>K199+K316-2648.88</f>
        <v>121.63999999999987</v>
      </c>
      <c r="L522" s="88">
        <f>SUM(F522:K522)</f>
        <v>4358988.4099999992</v>
      </c>
      <c r="N522" s="265"/>
    </row>
    <row r="523" spans="1:14" s="52" customFormat="1" ht="12.2" customHeight="1" x14ac:dyDescent="0.2">
      <c r="A523" s="22" t="s">
        <v>634</v>
      </c>
      <c r="B523" s="105">
        <v>21</v>
      </c>
      <c r="C523" s="115">
        <v>2</v>
      </c>
      <c r="D523" s="2" t="s">
        <v>432</v>
      </c>
      <c r="E523" s="115"/>
      <c r="F523" s="18">
        <f>F217+F297-19347.1</f>
        <v>359043.02</v>
      </c>
      <c r="G523" s="18">
        <f>G217+G297-9732.75</f>
        <v>184344.4</v>
      </c>
      <c r="H523" s="18">
        <f>H217+H297-640.08</f>
        <v>333720.03999999992</v>
      </c>
      <c r="I523" s="18">
        <f>I217+I297-41.34</f>
        <v>5761.6500000000005</v>
      </c>
      <c r="J523" s="18">
        <f t="shared" ref="J523" si="38">J217+J297</f>
        <v>6124.87</v>
      </c>
      <c r="K523" s="18">
        <f>K217+K297-608.75</f>
        <v>201.49</v>
      </c>
      <c r="L523" s="88">
        <f>SUM(F523:K523)</f>
        <v>889195.47</v>
      </c>
      <c r="N523" s="265"/>
    </row>
    <row r="524" spans="1:14" s="52" customFormat="1" ht="12.2" customHeight="1" thickBot="1" x14ac:dyDescent="0.25">
      <c r="A524" s="22" t="s">
        <v>635</v>
      </c>
      <c r="B524" s="105">
        <v>21</v>
      </c>
      <c r="C524" s="115">
        <v>3</v>
      </c>
      <c r="D524" s="2" t="s">
        <v>432</v>
      </c>
      <c r="E524" s="115"/>
      <c r="F524" s="18">
        <f>F235+F316-39739.99</f>
        <v>737493.78000000014</v>
      </c>
      <c r="G524" s="18">
        <f>G235+G316-19991.59</f>
        <v>378653.37</v>
      </c>
      <c r="H524" s="18">
        <f>H235+H316-1314.75</f>
        <v>685479.04</v>
      </c>
      <c r="I524" s="18">
        <f>I235+I316-84.92</f>
        <v>11831.630000000001</v>
      </c>
      <c r="J524" s="18">
        <f t="shared" ref="J524" si="39">J235+J316</f>
        <v>12580.81</v>
      </c>
      <c r="K524" s="18">
        <f>K235+K316-1250.41</f>
        <v>413.86999999999989</v>
      </c>
      <c r="L524" s="88">
        <f>SUM(F524:K524)</f>
        <v>1826452.5000000002</v>
      </c>
      <c r="N524" s="265"/>
    </row>
    <row r="525" spans="1:14" s="52" customFormat="1" ht="12.2" customHeight="1" thickTop="1" x14ac:dyDescent="0.2">
      <c r="A525" s="139" t="s">
        <v>63</v>
      </c>
      <c r="B525" s="107">
        <v>21</v>
      </c>
      <c r="C525" s="195">
        <v>4</v>
      </c>
      <c r="D525" s="196" t="s">
        <v>432</v>
      </c>
      <c r="E525" s="195"/>
      <c r="F525" s="108">
        <f>SUM(F522:F524)</f>
        <v>2828919.49</v>
      </c>
      <c r="G525" s="108">
        <f t="shared" ref="G525:L525" si="40">SUM(G522:G524)</f>
        <v>1743467.02</v>
      </c>
      <c r="H525" s="108">
        <f t="shared" si="40"/>
        <v>2429696.8000000003</v>
      </c>
      <c r="I525" s="108">
        <f t="shared" si="40"/>
        <v>40110.340000000004</v>
      </c>
      <c r="J525" s="108">
        <f t="shared" si="40"/>
        <v>31705.729999999996</v>
      </c>
      <c r="K525" s="108">
        <f t="shared" si="40"/>
        <v>736.99999999999977</v>
      </c>
      <c r="L525" s="89">
        <f t="shared" si="40"/>
        <v>7074636.379999999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368299.47</v>
      </c>
      <c r="G527" s="18">
        <v>187339.81</v>
      </c>
      <c r="H527" s="18">
        <v>856.57</v>
      </c>
      <c r="I527" s="18">
        <v>7037.89</v>
      </c>
      <c r="J527" s="18"/>
      <c r="K527" s="18"/>
      <c r="L527" s="88">
        <f>SUM(F527:K527)</f>
        <v>563533.74</v>
      </c>
      <c r="M527" s="8"/>
      <c r="N527" s="266"/>
    </row>
    <row r="528" spans="1:14" s="3" customFormat="1" ht="12.2" customHeight="1" x14ac:dyDescent="0.15">
      <c r="A528" s="22" t="s">
        <v>634</v>
      </c>
      <c r="B528" s="105">
        <v>21</v>
      </c>
      <c r="C528" s="115">
        <v>6</v>
      </c>
      <c r="D528" s="2" t="s">
        <v>432</v>
      </c>
      <c r="E528" s="115"/>
      <c r="F528" s="18">
        <v>84640.25</v>
      </c>
      <c r="G528" s="18">
        <v>43053.25</v>
      </c>
      <c r="H528" s="18">
        <v>196.85</v>
      </c>
      <c r="I528" s="18">
        <v>1617.4</v>
      </c>
      <c r="J528" s="18"/>
      <c r="K528" s="18"/>
      <c r="L528" s="88">
        <f>SUM(F528:K528)</f>
        <v>129507.75</v>
      </c>
      <c r="M528" s="8"/>
      <c r="N528" s="266"/>
    </row>
    <row r="529" spans="1:14" s="3" customFormat="1" ht="12.2" customHeight="1" thickBot="1" x14ac:dyDescent="0.2">
      <c r="A529" s="22" t="s">
        <v>635</v>
      </c>
      <c r="B529" s="118">
        <v>21</v>
      </c>
      <c r="C529" s="118">
        <v>7</v>
      </c>
      <c r="D529" s="2" t="s">
        <v>432</v>
      </c>
      <c r="E529" s="118"/>
      <c r="F529" s="18">
        <v>173855.65</v>
      </c>
      <c r="G529" s="18">
        <v>88433.7</v>
      </c>
      <c r="H529" s="18">
        <v>404.34</v>
      </c>
      <c r="I529" s="18">
        <v>3322.23</v>
      </c>
      <c r="J529" s="18"/>
      <c r="K529" s="18"/>
      <c r="L529" s="88">
        <f>SUM(F529:K529)</f>
        <v>266015.92</v>
      </c>
      <c r="M529" s="8"/>
      <c r="N529" s="266"/>
    </row>
    <row r="530" spans="1:14" s="3" customFormat="1" ht="12.2" customHeight="1" thickTop="1" x14ac:dyDescent="0.15">
      <c r="A530" s="139" t="s">
        <v>65</v>
      </c>
      <c r="B530" s="107">
        <v>21</v>
      </c>
      <c r="C530" s="107">
        <v>8</v>
      </c>
      <c r="D530" s="158" t="s">
        <v>432</v>
      </c>
      <c r="E530" s="107"/>
      <c r="F530" s="89">
        <f>SUM(F527:F529)</f>
        <v>626795.37</v>
      </c>
      <c r="G530" s="89">
        <f t="shared" ref="G530:L530" si="41">SUM(G527:G529)</f>
        <v>318826.76</v>
      </c>
      <c r="H530" s="89">
        <f t="shared" si="41"/>
        <v>1457.76</v>
      </c>
      <c r="I530" s="89">
        <f t="shared" si="41"/>
        <v>11977.52</v>
      </c>
      <c r="J530" s="89">
        <f t="shared" si="41"/>
        <v>0</v>
      </c>
      <c r="K530" s="89">
        <f t="shared" si="41"/>
        <v>0</v>
      </c>
      <c r="L530" s="89">
        <f t="shared" si="41"/>
        <v>959057.40999999992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84186.03</v>
      </c>
      <c r="G532" s="18">
        <v>42350.62</v>
      </c>
      <c r="H532" s="18">
        <v>2785.2</v>
      </c>
      <c r="I532" s="18">
        <v>179.89</v>
      </c>
      <c r="J532" s="18"/>
      <c r="K532" s="18">
        <v>2648.88</v>
      </c>
      <c r="L532" s="88">
        <f>SUM(F532:K532)</f>
        <v>132150.62</v>
      </c>
      <c r="M532" s="8"/>
      <c r="N532" s="266"/>
    </row>
    <row r="533" spans="1:14" s="3" customFormat="1" ht="12.2" customHeight="1" x14ac:dyDescent="0.15">
      <c r="A533" s="22" t="s">
        <v>634</v>
      </c>
      <c r="B533" s="105">
        <v>21</v>
      </c>
      <c r="C533" s="105">
        <v>10</v>
      </c>
      <c r="D533" s="2" t="s">
        <v>432</v>
      </c>
      <c r="E533" s="105"/>
      <c r="F533" s="18">
        <v>19347.099999999999</v>
      </c>
      <c r="G533" s="18">
        <v>9732.75</v>
      </c>
      <c r="H533" s="18">
        <v>640.08000000000004</v>
      </c>
      <c r="I533" s="18">
        <v>41.34</v>
      </c>
      <c r="J533" s="18"/>
      <c r="K533" s="18">
        <v>608.75</v>
      </c>
      <c r="L533" s="88">
        <f>SUM(F533:K533)</f>
        <v>30370.02</v>
      </c>
      <c r="M533" s="8"/>
      <c r="N533" s="266"/>
    </row>
    <row r="534" spans="1:14" s="3" customFormat="1" ht="12.2" customHeight="1" thickBot="1" x14ac:dyDescent="0.2">
      <c r="A534" s="22" t="s">
        <v>635</v>
      </c>
      <c r="B534" s="105">
        <v>21</v>
      </c>
      <c r="C534" s="105">
        <v>11</v>
      </c>
      <c r="D534" s="2" t="s">
        <v>432</v>
      </c>
      <c r="E534" s="105"/>
      <c r="F534" s="18">
        <v>39739.99</v>
      </c>
      <c r="G534" s="18">
        <v>19991.59</v>
      </c>
      <c r="H534" s="18">
        <v>1314.75</v>
      </c>
      <c r="I534" s="18">
        <v>84.92</v>
      </c>
      <c r="J534" s="18"/>
      <c r="K534" s="18">
        <v>1250.4100000000001</v>
      </c>
      <c r="L534" s="88">
        <f>SUM(F534:K534)</f>
        <v>62381.66</v>
      </c>
      <c r="M534" s="8"/>
      <c r="N534" s="266"/>
    </row>
    <row r="535" spans="1:14" s="3" customFormat="1" ht="12.2" customHeight="1" thickTop="1" x14ac:dyDescent="0.15">
      <c r="A535" s="139" t="s">
        <v>67</v>
      </c>
      <c r="B535" s="107">
        <v>21</v>
      </c>
      <c r="C535" s="107">
        <v>12</v>
      </c>
      <c r="D535" s="158" t="s">
        <v>432</v>
      </c>
      <c r="E535" s="107"/>
      <c r="F535" s="89">
        <f>SUM(F532:F534)</f>
        <v>143273.12</v>
      </c>
      <c r="G535" s="89">
        <f t="shared" ref="G535:L535" si="42">SUM(G532:G534)</f>
        <v>72074.960000000006</v>
      </c>
      <c r="H535" s="89">
        <f t="shared" si="42"/>
        <v>4740.03</v>
      </c>
      <c r="I535" s="89">
        <f t="shared" si="42"/>
        <v>306.14999999999998</v>
      </c>
      <c r="J535" s="89">
        <f t="shared" si="42"/>
        <v>0</v>
      </c>
      <c r="K535" s="89">
        <f t="shared" si="42"/>
        <v>4508.04</v>
      </c>
      <c r="L535" s="89">
        <f t="shared" si="42"/>
        <v>224902.3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0</v>
      </c>
      <c r="I540" s="89">
        <f t="shared" si="43"/>
        <v>0</v>
      </c>
      <c r="J540" s="89">
        <f t="shared" si="43"/>
        <v>0</v>
      </c>
      <c r="K540" s="89">
        <f t="shared" si="43"/>
        <v>0</v>
      </c>
      <c r="L540" s="89">
        <f t="shared" si="43"/>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31979.59</v>
      </c>
      <c r="G542" s="18">
        <v>2478.9899999999998</v>
      </c>
      <c r="H542" s="18">
        <v>183994.94</v>
      </c>
      <c r="I542" s="18">
        <f>483.46-0.01</f>
        <v>483.45</v>
      </c>
      <c r="J542" s="18">
        <v>48816.49</v>
      </c>
      <c r="K542" s="18"/>
      <c r="L542" s="88">
        <f>SUM(F542:K542)</f>
        <v>267753.46000000002</v>
      </c>
      <c r="M542" s="8"/>
      <c r="N542" s="266"/>
    </row>
    <row r="543" spans="1:14" s="3" customFormat="1" ht="12.2" customHeight="1" x14ac:dyDescent="0.15">
      <c r="A543" s="22" t="s">
        <v>634</v>
      </c>
      <c r="B543" s="105">
        <v>21</v>
      </c>
      <c r="C543" s="105">
        <v>18</v>
      </c>
      <c r="D543" s="2" t="s">
        <v>432</v>
      </c>
      <c r="E543" s="105"/>
      <c r="F543" s="18">
        <v>7349.35</v>
      </c>
      <c r="G543" s="18">
        <v>569.71</v>
      </c>
      <c r="H543" s="18">
        <v>42284.55</v>
      </c>
      <c r="I543" s="18">
        <v>111.11</v>
      </c>
      <c r="J543" s="18">
        <v>11218.7</v>
      </c>
      <c r="K543" s="18"/>
      <c r="L543" s="88">
        <f>SUM(F543:K543)</f>
        <v>61533.42</v>
      </c>
      <c r="M543" s="8"/>
      <c r="N543" s="266"/>
    </row>
    <row r="544" spans="1:14" s="3" customFormat="1" ht="12.2" customHeight="1" thickBot="1" x14ac:dyDescent="0.2">
      <c r="A544" s="22" t="s">
        <v>635</v>
      </c>
      <c r="B544" s="105">
        <v>21</v>
      </c>
      <c r="C544" s="105">
        <v>19</v>
      </c>
      <c r="D544" s="2" t="s">
        <v>432</v>
      </c>
      <c r="E544" s="105"/>
      <c r="F544" s="18">
        <v>15095.95</v>
      </c>
      <c r="G544" s="18">
        <v>1170.21</v>
      </c>
      <c r="H544" s="18">
        <v>86854.76</v>
      </c>
      <c r="I544" s="18">
        <v>228.22</v>
      </c>
      <c r="J544" s="18">
        <v>23043.81</v>
      </c>
      <c r="K544" s="18"/>
      <c r="L544" s="88">
        <f>SUM(F544:K544)</f>
        <v>126392.95</v>
      </c>
      <c r="M544" s="8"/>
      <c r="N544" s="266"/>
    </row>
    <row r="545" spans="1:14" s="3" customFormat="1" ht="12.2" customHeight="1" thickTop="1" thickBot="1" x14ac:dyDescent="0.2">
      <c r="A545" s="130" t="s">
        <v>71</v>
      </c>
      <c r="B545" s="191">
        <v>21</v>
      </c>
      <c r="C545" s="191">
        <v>20</v>
      </c>
      <c r="D545" s="192" t="s">
        <v>432</v>
      </c>
      <c r="E545" s="191"/>
      <c r="F545" s="193">
        <f>SUM(F542:F544)</f>
        <v>54424.89</v>
      </c>
      <c r="G545" s="193">
        <f t="shared" ref="G545:L545" si="44">SUM(G542:G544)</f>
        <v>4218.91</v>
      </c>
      <c r="H545" s="193">
        <f t="shared" si="44"/>
        <v>313134.25</v>
      </c>
      <c r="I545" s="193">
        <f t="shared" si="44"/>
        <v>822.78</v>
      </c>
      <c r="J545" s="193">
        <f t="shared" si="44"/>
        <v>83079</v>
      </c>
      <c r="K545" s="193">
        <f t="shared" si="44"/>
        <v>0</v>
      </c>
      <c r="L545" s="193">
        <f t="shared" si="44"/>
        <v>455679.83</v>
      </c>
      <c r="M545" s="8"/>
      <c r="N545" s="266"/>
    </row>
    <row r="546" spans="1:14" s="3" customFormat="1" ht="12.2" customHeight="1" thickTop="1" x14ac:dyDescent="0.15">
      <c r="A546" s="98" t="s">
        <v>72</v>
      </c>
      <c r="B546" s="107">
        <v>21</v>
      </c>
      <c r="C546" s="107">
        <v>21</v>
      </c>
      <c r="D546" s="158" t="s">
        <v>432</v>
      </c>
      <c r="E546" s="107"/>
      <c r="F546" s="89">
        <f>F525+F530+F535+F540+F545</f>
        <v>3653412.8700000006</v>
      </c>
      <c r="G546" s="89">
        <f t="shared" ref="G546:L546" si="45">G525+G530+G535+G540+G545</f>
        <v>2138587.6500000004</v>
      </c>
      <c r="H546" s="89">
        <f t="shared" si="45"/>
        <v>2749028.84</v>
      </c>
      <c r="I546" s="89">
        <f t="shared" si="45"/>
        <v>53216.79</v>
      </c>
      <c r="J546" s="89">
        <f t="shared" si="45"/>
        <v>114784.73</v>
      </c>
      <c r="K546" s="89">
        <f t="shared" si="45"/>
        <v>5245.04</v>
      </c>
      <c r="L546" s="89">
        <f t="shared" si="45"/>
        <v>8714275.9199999981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4358988.4099999992</v>
      </c>
      <c r="G550" s="87">
        <f>L527</f>
        <v>563533.74</v>
      </c>
      <c r="H550" s="87">
        <f>L532</f>
        <v>132150.62</v>
      </c>
      <c r="I550" s="87">
        <f>L537</f>
        <v>0</v>
      </c>
      <c r="J550" s="87">
        <f>L542</f>
        <v>267753.46000000002</v>
      </c>
      <c r="K550" s="87">
        <f>SUM(F550:J550)</f>
        <v>5322426.2299999995</v>
      </c>
      <c r="L550" s="24" t="s">
        <v>288</v>
      </c>
      <c r="M550" s="8"/>
      <c r="N550" s="266"/>
    </row>
    <row r="551" spans="1:14" s="3" customFormat="1" ht="12.2" customHeight="1" x14ac:dyDescent="0.15">
      <c r="A551" s="22" t="s">
        <v>634</v>
      </c>
      <c r="B551" s="75">
        <v>21</v>
      </c>
      <c r="C551" s="75">
        <v>23</v>
      </c>
      <c r="D551" s="2" t="s">
        <v>432</v>
      </c>
      <c r="E551" s="75"/>
      <c r="F551" s="87">
        <f>L523</f>
        <v>889195.47</v>
      </c>
      <c r="G551" s="87">
        <f>L528</f>
        <v>129507.75</v>
      </c>
      <c r="H551" s="87">
        <f>L533</f>
        <v>30370.02</v>
      </c>
      <c r="I551" s="87">
        <f>L538</f>
        <v>0</v>
      </c>
      <c r="J551" s="87">
        <f>L543</f>
        <v>61533.42</v>
      </c>
      <c r="K551" s="87">
        <f>SUM(F551:J551)</f>
        <v>1110606.6599999999</v>
      </c>
      <c r="L551" s="24" t="s">
        <v>288</v>
      </c>
      <c r="M551" s="8"/>
      <c r="N551" s="266"/>
    </row>
    <row r="552" spans="1:14" s="3" customFormat="1" ht="12.2" customHeight="1" thickBot="1" x14ac:dyDescent="0.2">
      <c r="A552" s="22" t="s">
        <v>635</v>
      </c>
      <c r="B552" s="75">
        <v>21</v>
      </c>
      <c r="C552" s="75">
        <v>24</v>
      </c>
      <c r="D552" s="2" t="s">
        <v>432</v>
      </c>
      <c r="E552" s="75"/>
      <c r="F552" s="87">
        <f>L524</f>
        <v>1826452.5000000002</v>
      </c>
      <c r="G552" s="87">
        <f>L529</f>
        <v>266015.92</v>
      </c>
      <c r="H552" s="87">
        <f>L534</f>
        <v>62381.66</v>
      </c>
      <c r="I552" s="87">
        <f>L539</f>
        <v>0</v>
      </c>
      <c r="J552" s="87">
        <f>L544</f>
        <v>126392.95</v>
      </c>
      <c r="K552" s="87">
        <f>SUM(F552:J552)</f>
        <v>2281243.0300000003</v>
      </c>
      <c r="L552" s="24" t="s">
        <v>288</v>
      </c>
      <c r="M552" s="8"/>
      <c r="N552" s="266"/>
    </row>
    <row r="553" spans="1:14" s="3" customFormat="1" ht="12.2" customHeight="1" thickTop="1" x14ac:dyDescent="0.15">
      <c r="A553" s="172" t="s">
        <v>340</v>
      </c>
      <c r="B553" s="44">
        <v>21</v>
      </c>
      <c r="C553" s="44">
        <v>25</v>
      </c>
      <c r="D553" s="39" t="s">
        <v>432</v>
      </c>
      <c r="E553" s="44"/>
      <c r="F553" s="89">
        <f t="shared" ref="F553:K553" si="46">SUM(F550:F552)</f>
        <v>7074636.379999999</v>
      </c>
      <c r="G553" s="89">
        <f t="shared" si="46"/>
        <v>959057.40999999992</v>
      </c>
      <c r="H553" s="89">
        <f t="shared" si="46"/>
        <v>224902.3</v>
      </c>
      <c r="I553" s="89">
        <f t="shared" si="46"/>
        <v>0</v>
      </c>
      <c r="J553" s="89">
        <f t="shared" si="46"/>
        <v>455679.83</v>
      </c>
      <c r="K553" s="89">
        <f t="shared" si="46"/>
        <v>8714275.9199999999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7">SUM(F558:F560)</f>
        <v>0</v>
      </c>
      <c r="G561" s="108">
        <f t="shared" si="47"/>
        <v>0</v>
      </c>
      <c r="H561" s="108">
        <f t="shared" si="47"/>
        <v>0</v>
      </c>
      <c r="I561" s="108">
        <f t="shared" si="47"/>
        <v>0</v>
      </c>
      <c r="J561" s="108">
        <f t="shared" si="47"/>
        <v>0</v>
      </c>
      <c r="K561" s="108">
        <f t="shared" si="47"/>
        <v>0</v>
      </c>
      <c r="L561" s="89">
        <f t="shared" si="47"/>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8">SUM(F563:F565)</f>
        <v>0</v>
      </c>
      <c r="G566" s="89">
        <f t="shared" si="48"/>
        <v>0</v>
      </c>
      <c r="H566" s="89">
        <f t="shared" si="48"/>
        <v>0</v>
      </c>
      <c r="I566" s="89">
        <f t="shared" si="48"/>
        <v>0</v>
      </c>
      <c r="J566" s="89">
        <f t="shared" si="48"/>
        <v>0</v>
      </c>
      <c r="K566" s="89">
        <f t="shared" si="48"/>
        <v>0</v>
      </c>
      <c r="L566" s="89">
        <f t="shared" si="48"/>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9">SUM(G568:G570)</f>
        <v>0</v>
      </c>
      <c r="H571" s="193">
        <f t="shared" si="49"/>
        <v>0</v>
      </c>
      <c r="I571" s="193">
        <f t="shared" si="49"/>
        <v>0</v>
      </c>
      <c r="J571" s="193">
        <f t="shared" si="49"/>
        <v>0</v>
      </c>
      <c r="K571" s="193">
        <f t="shared" si="49"/>
        <v>0</v>
      </c>
      <c r="L571" s="193">
        <f t="shared" si="49"/>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50">G561+G566+G571</f>
        <v>0</v>
      </c>
      <c r="H572" s="89">
        <f t="shared" si="50"/>
        <v>0</v>
      </c>
      <c r="I572" s="89">
        <f t="shared" si="50"/>
        <v>0</v>
      </c>
      <c r="J572" s="89">
        <f t="shared" si="50"/>
        <v>0</v>
      </c>
      <c r="K572" s="89">
        <f t="shared" si="50"/>
        <v>0</v>
      </c>
      <c r="L572" s="89">
        <f t="shared" si="50"/>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900</v>
      </c>
      <c r="I576" s="87">
        <f>SUM(F576:H576)</f>
        <v>900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39464.18</v>
      </c>
      <c r="G580" s="18">
        <v>9069.41</v>
      </c>
      <c r="H580" s="18">
        <v>18629.05</v>
      </c>
      <c r="I580" s="87">
        <f t="shared" si="51"/>
        <v>67162.64</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905118.46</v>
      </c>
      <c r="G583" s="18">
        <f>208008.59-0.01</f>
        <v>208008.58</v>
      </c>
      <c r="H583" s="18">
        <v>427260.89</v>
      </c>
      <c r="I583" s="87">
        <f t="shared" si="51"/>
        <v>1540387.9300000002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51"/>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56152.480000000003</v>
      </c>
      <c r="I585" s="87">
        <f t="shared" si="51"/>
        <v>56152.480000000003</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660991.61</v>
      </c>
      <c r="I592" s="18">
        <v>170887.13</v>
      </c>
      <c r="J592" s="18">
        <v>352358.1</v>
      </c>
      <c r="K592" s="104">
        <f t="shared" ref="K592:K598" si="52">SUM(H592:J592)</f>
        <v>1184236.8399999999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267753.48</v>
      </c>
      <c r="I593" s="18">
        <v>61533.41</v>
      </c>
      <c r="J593" s="18">
        <f>126392.95-0.01</f>
        <v>126392.94</v>
      </c>
      <c r="K593" s="104">
        <f t="shared" si="52"/>
        <v>455679.83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20381.22</v>
      </c>
      <c r="K594" s="104">
        <f t="shared" si="52"/>
        <v>20381.22</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19474.32</v>
      </c>
      <c r="J595" s="18">
        <v>39538.76</v>
      </c>
      <c r="K595" s="104">
        <f t="shared" si="52"/>
        <v>59013.08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220+925+125+415</f>
        <v>1685</v>
      </c>
      <c r="I596" s="18"/>
      <c r="J596" s="18">
        <v>1196</v>
      </c>
      <c r="K596" s="104">
        <f t="shared" si="52"/>
        <v>2881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1070.3900000000001</v>
      </c>
      <c r="I598" s="18">
        <v>245.99</v>
      </c>
      <c r="J598" s="18">
        <f>505.28</f>
        <v>505.28</v>
      </c>
      <c r="K598" s="104">
        <f t="shared" si="52"/>
        <v>1821.66</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931500.48</v>
      </c>
      <c r="I599" s="108">
        <f>SUM(I592:I598)</f>
        <v>252140.85</v>
      </c>
      <c r="J599" s="108">
        <f>SUM(J592:J598)</f>
        <v>540372.30000000005</v>
      </c>
      <c r="K599" s="108">
        <f>SUM(K592:K598)</f>
        <v>1724013.63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338855.71+0.01</f>
        <v>338855.72000000003</v>
      </c>
      <c r="I605" s="18">
        <f>86478.45+0.01</f>
        <v>86478.459999999992</v>
      </c>
      <c r="J605" s="18">
        <f>177081.34+0.01</f>
        <v>177081.35</v>
      </c>
      <c r="K605" s="104">
        <f>SUM(H605:J605)</f>
        <v>602415.53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338855.72000000003</v>
      </c>
      <c r="I606" s="108">
        <f>SUM(I603:I605)</f>
        <v>86478.459999999992</v>
      </c>
      <c r="J606" s="108">
        <f>SUM(J603:J605)</f>
        <v>177081.35</v>
      </c>
      <c r="K606" s="108">
        <f>SUM(K603:K605)</f>
        <v>602415.53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3">SUM(F612:F614)</f>
        <v>0</v>
      </c>
      <c r="G615" s="108">
        <f t="shared" si="53"/>
        <v>0</v>
      </c>
      <c r="H615" s="108">
        <f t="shared" si="53"/>
        <v>0</v>
      </c>
      <c r="I615" s="108">
        <f t="shared" si="53"/>
        <v>0</v>
      </c>
      <c r="J615" s="108">
        <f t="shared" si="53"/>
        <v>0</v>
      </c>
      <c r="K615" s="108">
        <f t="shared" si="53"/>
        <v>0</v>
      </c>
      <c r="L615" s="89">
        <f t="shared" si="53"/>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3658410.12</v>
      </c>
      <c r="H618" s="109">
        <f>SUM(F52)</f>
        <v>3658410.12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310657.25</v>
      </c>
      <c r="H619" s="109">
        <f>SUM(G52)</f>
        <v>310657.25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743442</v>
      </c>
      <c r="H620" s="109">
        <f>SUM(H52)</f>
        <v>743442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918130.78</v>
      </c>
      <c r="H621" s="109">
        <f>SUM(I52)</f>
        <v>918130.78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525037.92999999993</v>
      </c>
      <c r="H622" s="109">
        <f>SUM(J52)</f>
        <v>525037.92999999993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2101097.12</v>
      </c>
      <c r="H623" s="109">
        <f>F477</f>
        <v>2101097.1199999899</v>
      </c>
      <c r="I623" s="121" t="s">
        <v>101</v>
      </c>
      <c r="J623" s="109">
        <f t="shared" ref="J623:J656" si="54">G623-H623</f>
        <v>1.0244548320770264E-8</v>
      </c>
      <c r="K623" s="109"/>
      <c r="L623" s="109"/>
      <c r="M623" s="8"/>
    </row>
    <row r="624" spans="1:14" s="3" customFormat="1" ht="12.2" customHeight="1" x14ac:dyDescent="0.15">
      <c r="A624" s="97"/>
      <c r="B624" s="105"/>
      <c r="C624" s="119"/>
      <c r="D624" s="119"/>
      <c r="E624" s="119"/>
      <c r="F624" s="119" t="s">
        <v>866</v>
      </c>
      <c r="G624" s="109">
        <f>G51</f>
        <v>276410.25</v>
      </c>
      <c r="H624" s="109">
        <f>G477</f>
        <v>276410.25000000012</v>
      </c>
      <c r="I624" s="121" t="s">
        <v>102</v>
      </c>
      <c r="J624" s="109">
        <f t="shared" si="54"/>
        <v>0</v>
      </c>
      <c r="K624" s="109"/>
      <c r="L624" s="109"/>
      <c r="M624" s="8"/>
    </row>
    <row r="625" spans="1:13" s="3" customFormat="1" ht="12.2" customHeight="1" x14ac:dyDescent="0.15">
      <c r="A625" s="97"/>
      <c r="B625" s="105"/>
      <c r="C625" s="105"/>
      <c r="D625" s="105"/>
      <c r="E625" s="105"/>
      <c r="F625" s="120" t="s">
        <v>867</v>
      </c>
      <c r="G625" s="109">
        <f>H51</f>
        <v>99949</v>
      </c>
      <c r="H625" s="109">
        <f>H477</f>
        <v>99949</v>
      </c>
      <c r="I625" s="121" t="s">
        <v>103</v>
      </c>
      <c r="J625" s="109">
        <f t="shared" si="54"/>
        <v>0</v>
      </c>
      <c r="K625" s="109"/>
      <c r="L625" s="109"/>
      <c r="M625" s="8"/>
    </row>
    <row r="626" spans="1:13" s="3" customFormat="1" ht="12.2" customHeight="1" x14ac:dyDescent="0.15">
      <c r="A626" s="97"/>
      <c r="B626" s="105"/>
      <c r="C626" s="105"/>
      <c r="D626" s="105"/>
      <c r="E626" s="105"/>
      <c r="F626" s="120" t="s">
        <v>868</v>
      </c>
      <c r="G626" s="109">
        <f>I51</f>
        <v>918130.78</v>
      </c>
      <c r="H626" s="109">
        <f>I477</f>
        <v>918130.78</v>
      </c>
      <c r="I626" s="121" t="s">
        <v>104</v>
      </c>
      <c r="J626" s="109">
        <f t="shared" si="54"/>
        <v>0</v>
      </c>
      <c r="K626" s="109"/>
      <c r="L626" s="109"/>
      <c r="M626" s="8"/>
    </row>
    <row r="627" spans="1:13" s="3" customFormat="1" ht="12.2" customHeight="1" x14ac:dyDescent="0.15">
      <c r="A627" s="22"/>
      <c r="B627" s="105"/>
      <c r="C627" s="105"/>
      <c r="D627" s="105"/>
      <c r="E627" s="105"/>
      <c r="F627" s="120" t="s">
        <v>869</v>
      </c>
      <c r="G627" s="109">
        <f>J51</f>
        <v>525037.92999999993</v>
      </c>
      <c r="H627" s="109">
        <f>J477</f>
        <v>525037.93000000005</v>
      </c>
      <c r="I627" s="140" t="s">
        <v>105</v>
      </c>
      <c r="J627" s="109">
        <f t="shared" si="54"/>
        <v>0</v>
      </c>
      <c r="K627" s="85"/>
      <c r="L627" s="88"/>
      <c r="M627" s="8"/>
    </row>
    <row r="628" spans="1:13" s="3" customFormat="1" ht="12.2" customHeight="1" x14ac:dyDescent="0.15">
      <c r="A628" s="22"/>
      <c r="B628" s="105"/>
      <c r="C628" s="105"/>
      <c r="D628" s="105"/>
      <c r="E628" s="105"/>
      <c r="F628" s="120" t="s">
        <v>658</v>
      </c>
      <c r="G628" s="109">
        <f>F194</f>
        <v>31727620.229999997</v>
      </c>
      <c r="H628" s="104">
        <f>SUM(F469)</f>
        <v>31727620.229999997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844438.3</v>
      </c>
      <c r="H629" s="104">
        <f>SUM(G469)</f>
        <v>844438.3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1536388.84</v>
      </c>
      <c r="H630" s="104">
        <f>SUM(H469)</f>
        <v>1536388.84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1174444</v>
      </c>
      <c r="H631" s="104">
        <f>SUM(I469)</f>
        <v>1174444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7784.4</v>
      </c>
      <c r="H632" s="104">
        <f>SUM(J469)</f>
        <v>7784.4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31658755.330000006</v>
      </c>
      <c r="H633" s="104">
        <f>SUM(F473)</f>
        <v>31658755.330000006</v>
      </c>
      <c r="I633" s="140" t="s">
        <v>111</v>
      </c>
      <c r="J633" s="109">
        <f t="shared" si="54"/>
        <v>0</v>
      </c>
      <c r="K633" s="85"/>
      <c r="L633" s="88"/>
      <c r="M633" s="8"/>
    </row>
    <row r="634" spans="1:13" s="3" customFormat="1" ht="12.2" customHeight="1" x14ac:dyDescent="0.15">
      <c r="A634" s="22"/>
      <c r="B634" s="105"/>
      <c r="C634" s="105"/>
      <c r="D634" s="105"/>
      <c r="E634" s="105"/>
      <c r="F634" s="120" t="s">
        <v>395</v>
      </c>
      <c r="G634" s="109">
        <f>SUM(L353)</f>
        <v>1517196.84</v>
      </c>
      <c r="H634" s="104">
        <f>SUM(H473)</f>
        <v>1517196.84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340104.55000000005</v>
      </c>
      <c r="H635" s="104">
        <f>I370</f>
        <v>340104.55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844730.04999999993</v>
      </c>
      <c r="H636" s="104">
        <f>SUM(G473)</f>
        <v>844730.04999999993</v>
      </c>
      <c r="I636" s="140" t="s">
        <v>114</v>
      </c>
      <c r="J636" s="109">
        <f t="shared" si="54"/>
        <v>0</v>
      </c>
      <c r="K636" s="85"/>
      <c r="L636" s="88"/>
      <c r="M636" s="168"/>
    </row>
    <row r="637" spans="1:13" s="3" customFormat="1" ht="12.2" customHeight="1" x14ac:dyDescent="0.15">
      <c r="A637" s="22"/>
      <c r="B637" s="105"/>
      <c r="C637" s="105"/>
      <c r="D637" s="105"/>
      <c r="E637" s="105"/>
      <c r="F637" s="120" t="s">
        <v>115</v>
      </c>
      <c r="G637" s="109">
        <f>SUM(L383)</f>
        <v>962941</v>
      </c>
      <c r="H637" s="104">
        <f>SUM(I473)</f>
        <v>962941</v>
      </c>
      <c r="I637" s="140" t="s">
        <v>116</v>
      </c>
      <c r="J637" s="109">
        <f t="shared" si="54"/>
        <v>0</v>
      </c>
      <c r="K637" s="85"/>
      <c r="L637" s="88"/>
      <c r="M637" s="8"/>
    </row>
    <row r="638" spans="1:13" s="3" customFormat="1" ht="12.2" customHeight="1" x14ac:dyDescent="0.15">
      <c r="A638" s="161"/>
      <c r="B638" s="162"/>
      <c r="C638" s="162"/>
      <c r="D638" s="162"/>
      <c r="E638" s="162"/>
      <c r="F638" s="163" t="s">
        <v>477</v>
      </c>
      <c r="G638" s="151">
        <f>SUM(L409)</f>
        <v>7784.4000000000005</v>
      </c>
      <c r="H638" s="164">
        <f>SUM(J469)</f>
        <v>7784.4</v>
      </c>
      <c r="I638" s="165" t="s">
        <v>110</v>
      </c>
      <c r="J638" s="151">
        <f t="shared" si="54"/>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4"/>
        <v>0</v>
      </c>
      <c r="K639" s="166"/>
      <c r="L639" s="167"/>
      <c r="M639" s="8"/>
    </row>
    <row r="640" spans="1:13" s="3" customFormat="1" ht="12.2" customHeight="1" x14ac:dyDescent="0.15">
      <c r="A640" s="22"/>
      <c r="B640" s="105"/>
      <c r="C640" s="105"/>
      <c r="D640" s="105"/>
      <c r="E640" s="105"/>
      <c r="F640" s="120" t="s">
        <v>118</v>
      </c>
      <c r="G640" s="109">
        <f>SUM(F447)</f>
        <v>3210.39</v>
      </c>
      <c r="H640" s="104">
        <f>SUM(F462)</f>
        <v>3210.39</v>
      </c>
      <c r="I640" s="140" t="s">
        <v>841</v>
      </c>
      <c r="J640" s="109">
        <f t="shared" si="54"/>
        <v>0</v>
      </c>
      <c r="K640" s="85"/>
      <c r="L640" s="88"/>
      <c r="M640" s="8"/>
    </row>
    <row r="641" spans="1:13" s="3" customFormat="1" ht="12.2" customHeight="1" x14ac:dyDescent="0.15">
      <c r="A641" s="22"/>
      <c r="B641" s="105"/>
      <c r="C641" s="105"/>
      <c r="D641" s="105"/>
      <c r="E641" s="105"/>
      <c r="F641" s="120" t="s">
        <v>119</v>
      </c>
      <c r="G641" s="109">
        <f>SUM(G447)</f>
        <v>521827.54</v>
      </c>
      <c r="H641" s="104">
        <f>SUM(G462)</f>
        <v>521827.54</v>
      </c>
      <c r="I641" s="140" t="s">
        <v>842</v>
      </c>
      <c r="J641" s="109">
        <f t="shared" si="54"/>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4"/>
        <v>0</v>
      </c>
      <c r="K642" s="85"/>
      <c r="L642" s="88"/>
      <c r="M642" s="8"/>
    </row>
    <row r="643" spans="1:13" s="3" customFormat="1" ht="12.2" customHeight="1" x14ac:dyDescent="0.15">
      <c r="A643" s="22"/>
      <c r="B643" s="105"/>
      <c r="C643" s="105"/>
      <c r="D643" s="105"/>
      <c r="E643" s="105"/>
      <c r="F643" s="120" t="s">
        <v>121</v>
      </c>
      <c r="G643" s="109">
        <f>SUM(I447)</f>
        <v>525037.92999999993</v>
      </c>
      <c r="H643" s="104">
        <f>SUM(I462)</f>
        <v>525037.92999999993</v>
      </c>
      <c r="I643" s="140" t="s">
        <v>844</v>
      </c>
      <c r="J643" s="109">
        <f t="shared" si="54"/>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4"/>
        <v>0</v>
      </c>
      <c r="K644" s="85"/>
      <c r="L644" s="88"/>
      <c r="M644" s="8"/>
    </row>
    <row r="645" spans="1:13" s="3" customFormat="1" ht="12.2" customHeight="1" x14ac:dyDescent="0.15">
      <c r="A645" s="22"/>
      <c r="B645" s="105"/>
      <c r="C645" s="105"/>
      <c r="D645" s="105"/>
      <c r="E645" s="105"/>
      <c r="F645" s="120" t="s">
        <v>663</v>
      </c>
      <c r="G645" s="109">
        <f>J96</f>
        <v>7784.4</v>
      </c>
      <c r="H645" s="104">
        <f>H409</f>
        <v>7784.4000000000005</v>
      </c>
      <c r="I645" s="140" t="s">
        <v>480</v>
      </c>
      <c r="J645" s="109">
        <f t="shared" si="54"/>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4"/>
        <v>0</v>
      </c>
      <c r="K646" s="85"/>
      <c r="L646" s="88"/>
      <c r="M646" s="8"/>
    </row>
    <row r="647" spans="1:13" s="3" customFormat="1" ht="12.2" customHeight="1" x14ac:dyDescent="0.15">
      <c r="A647" s="22"/>
      <c r="B647" s="105"/>
      <c r="C647" s="105"/>
      <c r="D647" s="105"/>
      <c r="E647" s="105"/>
      <c r="F647" s="120" t="s">
        <v>662</v>
      </c>
      <c r="G647" s="109">
        <f>J194</f>
        <v>7784.4</v>
      </c>
      <c r="H647" s="104">
        <f>L409</f>
        <v>7784.4000000000005</v>
      </c>
      <c r="I647" s="140" t="s">
        <v>477</v>
      </c>
      <c r="J647" s="109">
        <f t="shared" si="54"/>
        <v>0</v>
      </c>
      <c r="K647" s="85"/>
      <c r="L647" s="88"/>
      <c r="M647" s="8"/>
    </row>
    <row r="648" spans="1:13" s="3" customFormat="1" ht="12.2" customHeight="1" x14ac:dyDescent="0.15">
      <c r="A648" s="22"/>
      <c r="B648" s="105"/>
      <c r="C648" s="105"/>
      <c r="D648" s="105"/>
      <c r="E648" s="105"/>
      <c r="F648" s="120" t="s">
        <v>51</v>
      </c>
      <c r="G648" s="109">
        <f>K599</f>
        <v>1724013.63</v>
      </c>
      <c r="H648" s="104">
        <f>L209+L227+L245</f>
        <v>1724013.63</v>
      </c>
      <c r="I648" s="140" t="s">
        <v>396</v>
      </c>
      <c r="J648" s="109">
        <f t="shared" si="54"/>
        <v>0</v>
      </c>
      <c r="K648" s="85"/>
      <c r="L648" s="88"/>
      <c r="M648" s="8"/>
    </row>
    <row r="649" spans="1:13" s="3" customFormat="1" ht="12.2" customHeight="1" x14ac:dyDescent="0.15">
      <c r="A649" s="22"/>
      <c r="B649" s="105"/>
      <c r="C649" s="105"/>
      <c r="D649" s="105"/>
      <c r="E649" s="105"/>
      <c r="F649" s="120" t="s">
        <v>52</v>
      </c>
      <c r="G649" s="109">
        <f>K606</f>
        <v>602415.53</v>
      </c>
      <c r="H649" s="104">
        <f>(J258+J339)-(J256+J337)</f>
        <v>602415.53</v>
      </c>
      <c r="I649" s="140" t="s">
        <v>699</v>
      </c>
      <c r="J649" s="109">
        <f t="shared" si="54"/>
        <v>0</v>
      </c>
      <c r="K649" s="85"/>
      <c r="L649" s="88"/>
      <c r="M649" s="8"/>
    </row>
    <row r="650" spans="1:13" s="3" customFormat="1" ht="12.2" customHeight="1" x14ac:dyDescent="0.15">
      <c r="A650" s="22"/>
      <c r="B650" s="105"/>
      <c r="C650" s="105"/>
      <c r="D650" s="105"/>
      <c r="E650" s="105"/>
      <c r="F650" s="120" t="s">
        <v>387</v>
      </c>
      <c r="G650" s="109">
        <f>L209</f>
        <v>931500.48</v>
      </c>
      <c r="H650" s="104">
        <f>H599</f>
        <v>931500.48</v>
      </c>
      <c r="I650" s="140" t="s">
        <v>388</v>
      </c>
      <c r="J650" s="109">
        <f t="shared" si="54"/>
        <v>0</v>
      </c>
      <c r="K650" s="85"/>
      <c r="L650" s="88"/>
      <c r="M650" s="8"/>
    </row>
    <row r="651" spans="1:13" s="3" customFormat="1" ht="12.2" customHeight="1" x14ac:dyDescent="0.15">
      <c r="A651" s="22"/>
      <c r="B651" s="105"/>
      <c r="C651" s="105"/>
      <c r="D651" s="105"/>
      <c r="E651" s="105"/>
      <c r="F651" s="120" t="s">
        <v>392</v>
      </c>
      <c r="G651" s="109">
        <f>L227</f>
        <v>252140.84999999998</v>
      </c>
      <c r="H651" s="104">
        <f>I599</f>
        <v>252140.85</v>
      </c>
      <c r="I651" s="140" t="s">
        <v>389</v>
      </c>
      <c r="J651" s="109">
        <f t="shared" si="54"/>
        <v>0</v>
      </c>
      <c r="K651" s="85"/>
      <c r="L651" s="88"/>
      <c r="M651" s="8"/>
    </row>
    <row r="652" spans="1:13" s="3" customFormat="1" ht="12.2" customHeight="1" x14ac:dyDescent="0.15">
      <c r="A652" s="22"/>
      <c r="B652" s="105"/>
      <c r="C652" s="105"/>
      <c r="D652" s="105"/>
      <c r="E652" s="105"/>
      <c r="F652" s="120" t="s">
        <v>393</v>
      </c>
      <c r="G652" s="109">
        <f>L245</f>
        <v>540372.29999999993</v>
      </c>
      <c r="H652" s="104">
        <f>J599</f>
        <v>540372.30000000005</v>
      </c>
      <c r="I652" s="140" t="s">
        <v>390</v>
      </c>
      <c r="J652" s="109">
        <f t="shared" si="54"/>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4"/>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4"/>
        <v>0</v>
      </c>
      <c r="K654" s="85"/>
      <c r="L654" s="88"/>
      <c r="M654" s="8"/>
    </row>
    <row r="655" spans="1:13" s="3" customFormat="1" ht="12.2" customHeight="1" x14ac:dyDescent="0.15">
      <c r="A655" s="22"/>
      <c r="B655" s="105"/>
      <c r="C655" s="105"/>
      <c r="D655" s="105"/>
      <c r="E655" s="105"/>
      <c r="F655" s="120" t="s">
        <v>667</v>
      </c>
      <c r="G655" s="109">
        <f>I180</f>
        <v>1146000</v>
      </c>
      <c r="H655" s="104">
        <f>K266+K347</f>
        <v>1146000</v>
      </c>
      <c r="I655" s="140" t="s">
        <v>399</v>
      </c>
      <c r="J655" s="109">
        <f t="shared" si="54"/>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4"/>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19217224.890000004</v>
      </c>
      <c r="G661" s="19">
        <f>(L230+L310+L360)</f>
        <v>4444637.4099999992</v>
      </c>
      <c r="H661" s="19">
        <f>(L248+L329+L361)</f>
        <v>9208208.0299999993</v>
      </c>
      <c r="I661" s="19">
        <f>SUM(F661:H661)</f>
        <v>32870070.330000006</v>
      </c>
      <c r="J661" s="13"/>
      <c r="K661" s="13"/>
      <c r="L661" s="13"/>
      <c r="M661" s="9"/>
    </row>
    <row r="662" spans="1:13" s="3" customFormat="1" ht="12.2" customHeight="1" x14ac:dyDescent="0.2">
      <c r="A662" s="1" t="s">
        <v>127</v>
      </c>
      <c r="F662" s="19">
        <f>(L359/IF(SUM(L359:L361)=0,1,SUM(L359:L361))*(SUM(G97:G110)))</f>
        <v>188647.84904609798</v>
      </c>
      <c r="G662" s="19">
        <f>(L360/IF(SUM(L359:L361)=0,1,SUM(L359:L361))*(SUM(G97:G110)))</f>
        <v>43353.850957979768</v>
      </c>
      <c r="H662" s="19">
        <f>(L361/IF(SUM(L359:L361)=0,1,SUM(L359:L361))*(SUM(G97:G110)))</f>
        <v>89051.159995922266</v>
      </c>
      <c r="I662" s="19">
        <f>SUM(F662:H662)</f>
        <v>321052.86</v>
      </c>
      <c r="J662"/>
      <c r="K662" s="13"/>
      <c r="L662" s="13"/>
      <c r="M662" s="8"/>
    </row>
    <row r="663" spans="1:13" s="3" customFormat="1" ht="12.2" customHeight="1" x14ac:dyDescent="0.2">
      <c r="A663" s="1" t="s">
        <v>128</v>
      </c>
      <c r="F663" s="19">
        <f>(L209+L288)-(J209+J288)</f>
        <v>895545.96</v>
      </c>
      <c r="G663" s="19">
        <f>(L227+L307)-(J227+J307)</f>
        <v>241192.85999999996</v>
      </c>
      <c r="H663" s="19">
        <f>(L245+L326)-(J245+J326)</f>
        <v>516896.57999999996</v>
      </c>
      <c r="I663" s="19">
        <f>SUM(F663:H663)</f>
        <v>1653635.4</v>
      </c>
      <c r="J663"/>
      <c r="K663" s="13"/>
      <c r="L663" s="13"/>
      <c r="M663" s="9"/>
    </row>
    <row r="664" spans="1:13" s="3" customFormat="1" ht="12.2" customHeight="1" x14ac:dyDescent="0.15">
      <c r="A664" s="198" t="s">
        <v>129</v>
      </c>
      <c r="B664" s="169"/>
      <c r="C664" s="169"/>
      <c r="D664" s="169"/>
      <c r="E664" s="169"/>
      <c r="F664" s="199">
        <f>SUM(F576:F588)+SUM(H603:H605)+SUM(L612)</f>
        <v>1283438.3600000001</v>
      </c>
      <c r="G664" s="199">
        <f>SUM(G576:G588)+SUM(I603:I605)+L613</f>
        <v>303556.44999999995</v>
      </c>
      <c r="H664" s="199">
        <f>SUM(H576:H588)+SUM(J603:J605)+L614</f>
        <v>680023.77</v>
      </c>
      <c r="I664" s="19">
        <f>SUM(F664:H664)</f>
        <v>2267018.58</v>
      </c>
      <c r="J664" s="13"/>
      <c r="K664" s="13"/>
      <c r="L664" s="13"/>
      <c r="M664" s="9"/>
    </row>
    <row r="665" spans="1:13" s="3" customFormat="1" ht="12.2" customHeight="1" x14ac:dyDescent="0.15">
      <c r="A665" s="1" t="s">
        <v>130</v>
      </c>
      <c r="F665" s="19">
        <f>F661-SUM(F662:F664)</f>
        <v>16849592.720953904</v>
      </c>
      <c r="G665" s="19">
        <f>G661-SUM(G662:G664)</f>
        <v>3856534.2490420192</v>
      </c>
      <c r="H665" s="19">
        <f>H661-SUM(H662:H664)</f>
        <v>7922236.5200040769</v>
      </c>
      <c r="I665" s="19">
        <f>I661-SUM(I662:I664)</f>
        <v>28628363.490000006</v>
      </c>
      <c r="J665" s="13"/>
      <c r="K665" s="13"/>
      <c r="L665" s="13"/>
      <c r="M665" s="8"/>
    </row>
    <row r="666" spans="1:13" s="3" customFormat="1" ht="12.2" customHeight="1" x14ac:dyDescent="0.2">
      <c r="A666" s="1" t="s">
        <v>131</v>
      </c>
      <c r="F666" s="246">
        <f>33.94+111.28+767.19</f>
        <v>912.41000000000008</v>
      </c>
      <c r="G666" s="247">
        <v>222.76</v>
      </c>
      <c r="H666" s="247">
        <v>449.78</v>
      </c>
      <c r="I666" s="19">
        <f>SUM(F666:H666)</f>
        <v>1584.95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18467.13</v>
      </c>
      <c r="G668" s="19">
        <f>ROUND(G665/G666,2)</f>
        <v>17312.509999999998</v>
      </c>
      <c r="H668" s="19">
        <f>ROUND(H665/H666,2)</f>
        <v>17613.580000000002</v>
      </c>
      <c r="I668" s="19">
        <f>ROUND(I665/I666,2)</f>
        <v>18062.63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-14.11</v>
      </c>
      <c r="I671" s="19">
        <f>SUM(F671:H671)</f>
        <v>-14.11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18467.13</v>
      </c>
      <c r="G673" s="19">
        <f>ROUND((G665+G670)/(G666+G671),2)</f>
        <v>17312.509999999998</v>
      </c>
      <c r="H673" s="19">
        <f>ROUND((H665+H670)/(H666+H671),2)</f>
        <v>18184.03</v>
      </c>
      <c r="I673" s="19">
        <f>ROUND((I665+I670)/(I666+I671),2)</f>
        <v>18224.88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Monadnock Regional School District - SAU #93</v>
      </c>
      <c r="C5" s="344"/>
      <c r="D5" s="344"/>
      <c r="E5" s="344"/>
      <c r="F5" s="344"/>
    </row>
    <row r="8" spans="1:9" ht="18" x14ac:dyDescent="0.25">
      <c r="A8" s="323" t="s">
        <v>1591</v>
      </c>
      <c r="F8" s="330" t="s">
        <v>1609</v>
      </c>
    </row>
    <row r="9" spans="1:9" ht="15" x14ac:dyDescent="0.2">
      <c r="A9" s="321" t="s">
        <v>1592</v>
      </c>
      <c r="B9" s="324">
        <f>'DOE25'!G97</f>
        <v>321052.86</v>
      </c>
      <c r="F9" s="321" t="s">
        <v>1605</v>
      </c>
    </row>
    <row r="10" spans="1:9" ht="15" x14ac:dyDescent="0.2">
      <c r="A10" s="321" t="s">
        <v>1593</v>
      </c>
      <c r="B10" s="324">
        <f>'DOE25'!G112-'DOE25'!G97</f>
        <v>0</v>
      </c>
      <c r="F10" s="321" t="s">
        <v>1606</v>
      </c>
    </row>
    <row r="11" spans="1:9" ht="15" x14ac:dyDescent="0.2">
      <c r="A11" s="321" t="s">
        <v>1594</v>
      </c>
      <c r="B11" s="324">
        <f>'DOE25'!G140</f>
        <v>12785.65</v>
      </c>
      <c r="F11" s="321" t="s">
        <v>1607</v>
      </c>
    </row>
    <row r="12" spans="1:9" ht="15" x14ac:dyDescent="0.2">
      <c r="A12" s="321" t="s">
        <v>1595</v>
      </c>
      <c r="B12" s="324">
        <f>'DOE25'!G170</f>
        <v>510599.79000000004</v>
      </c>
      <c r="F12" s="321" t="s">
        <v>1608</v>
      </c>
    </row>
    <row r="13" spans="1:9" ht="15" x14ac:dyDescent="0.2">
      <c r="A13" s="321" t="s">
        <v>1596</v>
      </c>
      <c r="B13" s="324">
        <f>'DOE25'!G193-'DOE25'!G180</f>
        <v>0</v>
      </c>
      <c r="F13" s="321" t="s">
        <v>1618</v>
      </c>
    </row>
    <row r="14" spans="1:9" ht="18" x14ac:dyDescent="0.25">
      <c r="A14" s="323" t="s">
        <v>732</v>
      </c>
      <c r="B14" s="325">
        <f>SUM(B9:B13)</f>
        <v>844438.3</v>
      </c>
    </row>
    <row r="16" spans="1:9" ht="18" x14ac:dyDescent="0.25">
      <c r="A16" s="323" t="s">
        <v>786</v>
      </c>
      <c r="F16" s="330" t="s">
        <v>1610</v>
      </c>
    </row>
    <row r="17" spans="1:6" ht="15" x14ac:dyDescent="0.2">
      <c r="A17" s="321" t="s">
        <v>1597</v>
      </c>
      <c r="B17" s="324">
        <f>'DOE25'!L363-'DOE25'!L362</f>
        <v>844730.04999999993</v>
      </c>
      <c r="F17" s="321" t="s">
        <v>1611</v>
      </c>
    </row>
    <row r="18" spans="1:6" ht="15" x14ac:dyDescent="0.2">
      <c r="A18" s="321" t="s">
        <v>1598</v>
      </c>
      <c r="B18" s="338"/>
      <c r="F18" s="330" t="s">
        <v>1637</v>
      </c>
    </row>
    <row r="19" spans="1:6" ht="18" x14ac:dyDescent="0.25">
      <c r="A19" s="323" t="s">
        <v>725</v>
      </c>
      <c r="B19" s="325">
        <f>SUM(B17:B18)</f>
        <v>844730.04999999993</v>
      </c>
    </row>
    <row r="21" spans="1:6" ht="18.75" thickBot="1" x14ac:dyDescent="0.3">
      <c r="A21" s="323" t="s">
        <v>1599</v>
      </c>
    </row>
    <row r="22" spans="1:6" ht="18.75" thickTop="1" x14ac:dyDescent="0.25">
      <c r="A22" s="323" t="s">
        <v>1600</v>
      </c>
      <c r="B22" s="329">
        <f>B14-B19</f>
        <v>-291.74999999988358</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276702</v>
      </c>
      <c r="F31" s="321" t="s">
        <v>1615</v>
      </c>
    </row>
    <row r="33" spans="1:6" ht="15" x14ac:dyDescent="0.2">
      <c r="A33" s="321" t="s">
        <v>1641</v>
      </c>
      <c r="B33" s="324">
        <f>'DOE25'!G477</f>
        <v>276410.25000000012</v>
      </c>
      <c r="F33" s="321" t="s">
        <v>1616</v>
      </c>
    </row>
    <row r="36" spans="1:6" ht="15" x14ac:dyDescent="0.2">
      <c r="A36" s="321" t="s">
        <v>1602</v>
      </c>
      <c r="B36" s="341">
        <v>53766.400000000001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2" sqref="A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Monadnock Regional School District - SAU #93</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9274680.9800000004</v>
      </c>
      <c r="C9" s="229">
        <f>'DOE25'!G198+'DOE25'!G216+'DOE25'!G234+'DOE25'!G277+'DOE25'!G296+'DOE25'!G315</f>
        <v>1986620.98</v>
      </c>
    </row>
    <row r="10" spans="1:3" x14ac:dyDescent="0.2">
      <c r="A10" t="s">
        <v>775</v>
      </c>
      <c r="B10" s="240">
        <v>8874697.7000000011</v>
      </c>
      <c r="C10" s="240">
        <v>1787089.6490799999</v>
      </c>
    </row>
    <row r="11" spans="1:3" x14ac:dyDescent="0.2">
      <c r="A11" t="s">
        <v>776</v>
      </c>
      <c r="B11" s="240">
        <v>303379.27</v>
      </c>
      <c r="C11" s="240">
        <v>192141.12415500003</v>
      </c>
    </row>
    <row r="12" spans="1:3" x14ac:dyDescent="0.2">
      <c r="A12" t="s">
        <v>777</v>
      </c>
      <c r="B12" s="240">
        <v>96604.01</v>
      </c>
      <c r="C12" s="240">
        <v>7390.2067649999999</v>
      </c>
    </row>
    <row r="13" spans="1:3" x14ac:dyDescent="0.2">
      <c r="A13" t="str">
        <f>IF(B9=B13,IF(C9=C13,"Check Total OK","Check Total Error"),"Check Total Error")</f>
        <v>Check Total OK</v>
      </c>
      <c r="B13" s="231">
        <f>SUM(B10:B12)</f>
        <v>9274680.9800000004</v>
      </c>
      <c r="C13" s="231">
        <f>SUM(C10:C12)</f>
        <v>1986620.98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2987818.95</v>
      </c>
      <c r="C18" s="229">
        <f>'DOE25'!G199+'DOE25'!G217+'DOE25'!G235+'DOE25'!G278+'DOE25'!G297+'DOE25'!G316</f>
        <v>1827678.34</v>
      </c>
    </row>
    <row r="19" spans="1:3" x14ac:dyDescent="0.2">
      <c r="A19" t="s">
        <v>775</v>
      </c>
      <c r="B19" s="240">
        <v>1638421.1400000004</v>
      </c>
      <c r="C19" s="240">
        <v>548691.08753500017</v>
      </c>
    </row>
    <row r="20" spans="1:3" x14ac:dyDescent="0.2">
      <c r="A20" t="s">
        <v>776</v>
      </c>
      <c r="B20" s="240">
        <v>1313349.3599999999</v>
      </c>
      <c r="C20" s="240">
        <v>1259522.5460399999</v>
      </c>
    </row>
    <row r="21" spans="1:3" x14ac:dyDescent="0.2">
      <c r="A21" t="s">
        <v>777</v>
      </c>
      <c r="B21" s="240">
        <v>36048.449999999997</v>
      </c>
      <c r="C21" s="240">
        <v>19464.706425</v>
      </c>
    </row>
    <row r="22" spans="1:3" x14ac:dyDescent="0.2">
      <c r="A22" t="str">
        <f>IF(B18=B22,IF(C18=C22,"Check Total OK","Check Total Error"),"Check Total Error")</f>
        <v>Check Total OK</v>
      </c>
      <c r="B22" s="231">
        <f>SUM(B19:B21)</f>
        <v>2987818.95</v>
      </c>
      <c r="C22" s="231">
        <f>SUM(C19:C21)</f>
        <v>1827678.34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373022.58999999997</v>
      </c>
      <c r="C36" s="235">
        <f>'DOE25'!G201+'DOE25'!G219+'DOE25'!G237+'DOE25'!G280+'DOE25'!G299+'DOE25'!G318</f>
        <v>114298.91</v>
      </c>
    </row>
    <row r="37" spans="1:3" x14ac:dyDescent="0.2">
      <c r="A37" t="s">
        <v>775</v>
      </c>
      <c r="B37" s="240">
        <v>92736.28</v>
      </c>
      <c r="C37" s="240">
        <v>33949.42542</v>
      </c>
    </row>
    <row r="38" spans="1:3" x14ac:dyDescent="0.2">
      <c r="A38" t="s">
        <v>776</v>
      </c>
      <c r="B38" s="240">
        <v>1116.6500000000001</v>
      </c>
      <c r="C38" s="240">
        <v>210.15372500000001</v>
      </c>
    </row>
    <row r="39" spans="1:3" x14ac:dyDescent="0.2">
      <c r="A39" t="s">
        <v>777</v>
      </c>
      <c r="B39" s="240">
        <v>279169.66000000003</v>
      </c>
      <c r="C39" s="240">
        <v>80139.330855000007</v>
      </c>
    </row>
    <row r="40" spans="1:3" x14ac:dyDescent="0.2">
      <c r="A40" t="str">
        <f>IF(B36=B40,IF(C36=C40,"Check Total OK","Check Total Error"),"Check Total Error")</f>
        <v>Check Total OK</v>
      </c>
      <c r="B40" s="231">
        <f>SUM(B37:B39)</f>
        <v>373022.59</v>
      </c>
      <c r="C40" s="231">
        <f>SUM(C37:C39)</f>
        <v>114298.91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Monadnock Regional School District - SAU #93</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18957954.130000003</v>
      </c>
      <c r="D5" s="20">
        <f>SUM('DOE25'!L198:L201)+SUM('DOE25'!L216:L219)+SUM('DOE25'!L234:L237)-F5-G5-H5</f>
        <v>18568529.460000005</v>
      </c>
      <c r="E5" s="243"/>
      <c r="F5" s="244">
        <f>68053+23908.75+50490+41980+20540+15480</f>
        <v>220451.75</v>
      </c>
      <c r="G5" s="53">
        <f>SUM('DOE25'!J198:J201)+SUM('DOE25'!J216:J219)+SUM('DOE25'!J234:J237)</f>
        <v>111463.93</v>
      </c>
      <c r="H5" s="53">
        <f>SUM('DOE25'!K198:K201)+SUM('DOE25'!K216:K219)+SUM('DOE25'!K234:K237)</f>
        <v>57508.989999999991</v>
      </c>
      <c r="I5" s="256"/>
    </row>
    <row r="6" spans="1:9" x14ac:dyDescent="0.2">
      <c r="A6" s="32">
        <v>2100</v>
      </c>
      <c r="B6" t="s">
        <v>796</v>
      </c>
      <c r="C6" s="276">
        <f t="shared" si="0"/>
        <v>2095815.0899999999</v>
      </c>
      <c r="D6" s="20">
        <f>'DOE25'!L203+'DOE25'!L221+'DOE25'!L239-F6-G6-H6</f>
        <v>2087072.71</v>
      </c>
      <c r="E6" s="243"/>
      <c r="F6" s="244"/>
      <c r="G6" s="53">
        <f>'DOE25'!J203+'DOE25'!J221+'DOE25'!J239</f>
        <v>1554.98</v>
      </c>
      <c r="H6" s="53">
        <f>'DOE25'!K203+'DOE25'!K221+'DOE25'!K239</f>
        <v>7187.4</v>
      </c>
      <c r="I6" s="256"/>
    </row>
    <row r="7" spans="1:9" x14ac:dyDescent="0.2">
      <c r="A7" s="32">
        <v>2200</v>
      </c>
      <c r="B7" t="s">
        <v>821</v>
      </c>
      <c r="C7" s="276">
        <f t="shared" si="0"/>
        <v>811696.40999999992</v>
      </c>
      <c r="D7" s="20">
        <f>'DOE25'!L204+'DOE25'!L222+'DOE25'!L240-F7-G7-H7</f>
        <v>807509.5199999999</v>
      </c>
      <c r="E7" s="243"/>
      <c r="F7" s="244"/>
      <c r="G7" s="53">
        <f>'DOE25'!J204+'DOE25'!J222+'DOE25'!J240</f>
        <v>3030.11</v>
      </c>
      <c r="H7" s="53">
        <f>'DOE25'!K204+'DOE25'!K222+'DOE25'!K240</f>
        <v>1156.7800000000002</v>
      </c>
      <c r="I7" s="256"/>
    </row>
    <row r="8" spans="1:9" x14ac:dyDescent="0.2">
      <c r="A8" s="32">
        <v>2300</v>
      </c>
      <c r="B8" t="s">
        <v>797</v>
      </c>
      <c r="C8" s="276">
        <f t="shared" si="0"/>
        <v>149117.26999999996</v>
      </c>
      <c r="D8" s="243"/>
      <c r="E8" s="20">
        <f>'DOE25'!L205+'DOE25'!L223+'DOE25'!L241-F8-G8-H8-D9-D11</f>
        <v>130933.65999999997</v>
      </c>
      <c r="F8" s="244"/>
      <c r="G8" s="53">
        <f>'DOE25'!J205+'DOE25'!J223+'DOE25'!J241</f>
        <v>0</v>
      </c>
      <c r="H8" s="53">
        <f>'DOE25'!K205+'DOE25'!K223+'DOE25'!K241</f>
        <v>18183.61</v>
      </c>
      <c r="I8" s="256"/>
    </row>
    <row r="9" spans="1:9" ht="14.25" x14ac:dyDescent="0.2">
      <c r="A9" s="32">
        <v>2310</v>
      </c>
      <c r="B9" s="185" t="s">
        <v>890</v>
      </c>
      <c r="C9" s="276">
        <f t="shared" si="0"/>
        <v>207214.77</v>
      </c>
      <c r="D9" s="244">
        <f>233354.77-22390-3750</f>
        <v>207214.77</v>
      </c>
      <c r="E9" s="243"/>
      <c r="F9" s="253"/>
      <c r="G9" s="253"/>
      <c r="H9" s="253"/>
      <c r="I9" s="256"/>
    </row>
    <row r="10" spans="1:9" ht="14.25" x14ac:dyDescent="0.2">
      <c r="A10" s="32">
        <v>2317</v>
      </c>
      <c r="B10" s="185" t="s">
        <v>891</v>
      </c>
      <c r="C10" s="276">
        <f t="shared" si="0"/>
        <v>26140</v>
      </c>
      <c r="D10" s="243"/>
      <c r="E10" s="244">
        <f>22390+3750</f>
        <v>26140</v>
      </c>
      <c r="F10" s="253"/>
      <c r="G10" s="253"/>
      <c r="H10" s="253"/>
      <c r="I10" s="256"/>
    </row>
    <row r="11" spans="1:9" ht="14.25" x14ac:dyDescent="0.2">
      <c r="A11" s="32">
        <v>2321</v>
      </c>
      <c r="B11" s="185" t="s">
        <v>892</v>
      </c>
      <c r="C11" s="276">
        <f t="shared" si="0"/>
        <v>275949.17</v>
      </c>
      <c r="D11" s="244">
        <v>275949.17</v>
      </c>
      <c r="E11" s="243"/>
      <c r="F11" s="253"/>
      <c r="G11" s="253"/>
      <c r="H11" s="253"/>
      <c r="I11" s="256"/>
    </row>
    <row r="12" spans="1:9" x14ac:dyDescent="0.2">
      <c r="A12" s="32">
        <v>2400</v>
      </c>
      <c r="B12" t="s">
        <v>711</v>
      </c>
      <c r="C12" s="276">
        <f t="shared" si="0"/>
        <v>1805354.4099999997</v>
      </c>
      <c r="D12" s="20">
        <f>'DOE25'!L206+'DOE25'!L224+'DOE25'!L242-F12-G12-H12</f>
        <v>1791040.3099999998</v>
      </c>
      <c r="E12" s="243"/>
      <c r="F12" s="244"/>
      <c r="G12" s="53">
        <f>'DOE25'!J206+'DOE25'!J224+'DOE25'!J242</f>
        <v>3898.22</v>
      </c>
      <c r="H12" s="53">
        <f>'DOE25'!K206+'DOE25'!K224+'DOE25'!K242</f>
        <v>10415.880000000001</v>
      </c>
      <c r="I12" s="256"/>
    </row>
    <row r="13" spans="1:9" x14ac:dyDescent="0.2">
      <c r="A13" s="32">
        <v>2500</v>
      </c>
      <c r="B13" t="s">
        <v>798</v>
      </c>
      <c r="C13" s="276">
        <f t="shared" si="0"/>
        <v>806924.03</v>
      </c>
      <c r="D13" s="243"/>
      <c r="E13" s="20">
        <f>'DOE25'!L207+'DOE25'!L225+'DOE25'!L243-F13-G13-H13</f>
        <v>728251.27</v>
      </c>
      <c r="F13" s="244">
        <f>32330.28+33003.1</f>
        <v>65333.38</v>
      </c>
      <c r="G13" s="53">
        <f>'DOE25'!J207+'DOE25'!J225+'DOE25'!J243</f>
        <v>11669.8</v>
      </c>
      <c r="H13" s="53">
        <f>'DOE25'!K207+'DOE25'!K225+'DOE25'!K243</f>
        <v>1669.58</v>
      </c>
      <c r="I13" s="256"/>
    </row>
    <row r="14" spans="1:9" x14ac:dyDescent="0.2">
      <c r="A14" s="32">
        <v>2600</v>
      </c>
      <c r="B14" t="s">
        <v>819</v>
      </c>
      <c r="C14" s="276">
        <f t="shared" si="0"/>
        <v>2497754.59</v>
      </c>
      <c r="D14" s="20">
        <f>'DOE25'!L208+'DOE25'!L226+'DOE25'!L244-F14-G14-H14</f>
        <v>2202915.7299999995</v>
      </c>
      <c r="E14" s="243"/>
      <c r="F14" s="244">
        <v>192659</v>
      </c>
      <c r="G14" s="53">
        <f>'DOE25'!J208+'DOE25'!J226+'DOE25'!J244</f>
        <v>102039.72</v>
      </c>
      <c r="H14" s="53">
        <f>'DOE25'!K208+'DOE25'!K226+'DOE25'!K244</f>
        <v>140.13999999999999</v>
      </c>
      <c r="I14" s="256"/>
    </row>
    <row r="15" spans="1:9" x14ac:dyDescent="0.2">
      <c r="A15" s="32">
        <v>2700</v>
      </c>
      <c r="B15" t="s">
        <v>799</v>
      </c>
      <c r="C15" s="276">
        <f t="shared" si="0"/>
        <v>1724013.63</v>
      </c>
      <c r="D15" s="20">
        <f>'DOE25'!L209+'DOE25'!L227+'DOE25'!L245-F15-G15-H15</f>
        <v>516017.23</v>
      </c>
      <c r="E15" s="243"/>
      <c r="F15" s="244">
        <v>1124917.3999999999</v>
      </c>
      <c r="G15" s="53">
        <f>'DOE25'!J209+'DOE25'!J227+'DOE25'!J245</f>
        <v>83079</v>
      </c>
      <c r="H15" s="53">
        <f>'DOE25'!K209+'DOE25'!K227+'DOE25'!K245</f>
        <v>0</v>
      </c>
      <c r="I15" s="256"/>
    </row>
    <row r="16" spans="1:9" x14ac:dyDescent="0.2">
      <c r="A16" s="32">
        <v>2800</v>
      </c>
      <c r="B16" t="s">
        <v>800</v>
      </c>
      <c r="C16" s="276">
        <f t="shared" si="0"/>
        <v>1180961.83</v>
      </c>
      <c r="D16" s="243"/>
      <c r="E16" s="20">
        <f>'DOE25'!L210+'DOE25'!L228+'DOE25'!L246-F16-G16-H16</f>
        <v>869505.8400000002</v>
      </c>
      <c r="F16" s="244">
        <f>38310.18+6385.03+38310.18</f>
        <v>83005.39</v>
      </c>
      <c r="G16" s="53">
        <f>'DOE25'!J210+'DOE25'!J228+'DOE25'!J246</f>
        <v>228450.59999999998</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530976.80999999994</v>
      </c>
      <c r="D29" s="284">
        <f>'DOE25'!L359+'DOE25'!L360+'DOE25'!L361-'DOE25'!I368-F29-G29-H29</f>
        <v>527041.49</v>
      </c>
      <c r="E29" s="243"/>
      <c r="F29" s="244"/>
      <c r="G29" s="53">
        <f>'DOE25'!J359+'DOE25'!J360+'DOE25'!J361</f>
        <v>1974.37</v>
      </c>
      <c r="H29" s="53">
        <f>'DOE25'!K359+'DOE25'!K360+'DOE25'!K361</f>
        <v>1960.9499999999998</v>
      </c>
      <c r="I29" s="256"/>
    </row>
    <row r="30" spans="1:9" x14ac:dyDescent="0.2">
      <c r="A30" s="32"/>
      <c r="C30" s="277"/>
      <c r="D30" s="20"/>
      <c r="E30" s="281"/>
      <c r="F30" s="271"/>
      <c r="G30" s="53"/>
      <c r="H30" s="53"/>
      <c r="I30" s="256"/>
    </row>
    <row r="31" spans="1:9" x14ac:dyDescent="0.2">
      <c r="A31" s="32" t="s">
        <v>818</v>
      </c>
      <c r="B31" t="s">
        <v>817</v>
      </c>
      <c r="C31" s="276">
        <f>SUM(D31:I31)</f>
        <v>1517196.84</v>
      </c>
      <c r="D31" s="20">
        <f>'DOE25'!L291+'DOE25'!L310+'DOE25'!L329+'DOE25'!L334+'DOE25'!L335+'DOE25'!L336-F31-G31-H31</f>
        <v>1289566.3500000001</v>
      </c>
      <c r="E31" s="243"/>
      <c r="F31" s="244">
        <f>21874.29+20958.04</f>
        <v>42832.33</v>
      </c>
      <c r="G31" s="53">
        <f>'DOE25'!J291+'DOE25'!J310+'DOE25'!J329+'DOE25'!J334+'DOE25'!J335+'DOE25'!J336</f>
        <v>57229.17</v>
      </c>
      <c r="H31" s="53">
        <f>'DOE25'!K291+'DOE25'!K310+'DOE25'!K329+'DOE25'!K334+'DOE25'!K335+'DOE25'!K336</f>
        <v>127568.98999999999</v>
      </c>
      <c r="I31" s="256"/>
    </row>
    <row r="32" spans="1:9" ht="12" thickBot="1" x14ac:dyDescent="0.25">
      <c r="C32" s="277"/>
      <c r="G32" s="251"/>
      <c r="H32" s="251"/>
      <c r="I32" s="258"/>
    </row>
    <row r="33" spans="1:9" ht="12" thickTop="1" x14ac:dyDescent="0.2">
      <c r="B33" t="s">
        <v>809</v>
      </c>
      <c r="D33" s="245">
        <f t="shared" ref="D33:I33" si="1">SUM(D5:D31)</f>
        <v>28272856.740000006</v>
      </c>
      <c r="E33" s="245">
        <f t="shared" si="1"/>
        <v>1754830.77</v>
      </c>
      <c r="F33" s="245">
        <f t="shared" si="1"/>
        <v>1729199.2499999998</v>
      </c>
      <c r="G33" s="245">
        <f t="shared" si="1"/>
        <v>604389.9</v>
      </c>
      <c r="H33" s="245">
        <f t="shared" si="1"/>
        <v>225792.32</v>
      </c>
      <c r="I33" s="245">
        <f t="shared" si="1"/>
        <v>0</v>
      </c>
    </row>
    <row r="35" spans="1:9" ht="12" thickBot="1" x14ac:dyDescent="0.25">
      <c r="B35" s="251" t="s">
        <v>831</v>
      </c>
      <c r="D35" s="252">
        <f>E33</f>
        <v>1754830.77</v>
      </c>
      <c r="E35" s="248"/>
    </row>
    <row r="36" spans="1:9" ht="12" thickTop="1" x14ac:dyDescent="0.2">
      <c r="B36" t="s">
        <v>810</v>
      </c>
      <c r="D36" s="20">
        <f>D33</f>
        <v>28272856.740000006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Monadnock Regional School District - SAU #93</v>
      </c>
      <c r="B2" s="126">
        <f>'DOE25'!B2</f>
        <v>363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18720868.91</v>
      </c>
      <c r="G4" s="303">
        <f>'DOE25'!L212+'DOE25'!L291</f>
        <v>18720868.910000004</v>
      </c>
      <c r="H4" s="337">
        <f>F4-G4</f>
        <v>0</v>
      </c>
      <c r="I4" s="309" t="str">
        <f>IF(H4=0,"","Does not match DOE25 page 7 and 11 Totals!!")</f>
        <v/>
      </c>
      <c r="N4"/>
    </row>
    <row r="5" spans="1:18" x14ac:dyDescent="0.2">
      <c r="A5" s="21" t="s">
        <v>1629</v>
      </c>
      <c r="B5" s="304">
        <f>IFERROR(VLOOKUP(A5,'School Tables'!$C$3:$D$365,2,FALSE),"")</f>
        <v>21695</v>
      </c>
      <c r="C5" s="297" t="str">
        <f>IFERROR(INDEX('School Tables'!$B$3:$B$365,MATCH('School Level Expenditures'!B5,'School Tables'!$D$3:$D$365,0)),"")</f>
        <v>Monadnock Regional</v>
      </c>
      <c r="D5" s="294">
        <v>4518652.3600000003</v>
      </c>
      <c r="E5" s="294">
        <v>350076.31</v>
      </c>
      <c r="F5" s="312">
        <f>D5+E5</f>
        <v>4868728.67</v>
      </c>
      <c r="G5" s="297"/>
      <c r="H5" s="297"/>
      <c r="I5" s="126"/>
      <c r="N5"/>
    </row>
    <row r="6" spans="1:18" x14ac:dyDescent="0.2">
      <c r="A6" s="21" t="s">
        <v>1623</v>
      </c>
      <c r="B6" s="304">
        <f>IFERROR(VLOOKUP(A6,'School Tables'!$C$3:$D$365,2,FALSE),"")</f>
        <v>21715</v>
      </c>
      <c r="C6" s="297" t="str">
        <f>IFERROR(INDEX('School Tables'!$B$3:$B$365,MATCH('School Level Expenditures'!B6,'School Tables'!$D$3:$D$365,0)),"")</f>
        <v>Monadnock Regional</v>
      </c>
      <c r="D6" s="294">
        <v>4895206.72</v>
      </c>
      <c r="E6" s="294">
        <v>379249.33</v>
      </c>
      <c r="F6" s="307">
        <f t="shared" ref="F6:F20" si="0">D6+E6</f>
        <v>5274456.05</v>
      </c>
      <c r="G6" s="297"/>
      <c r="H6" s="297"/>
      <c r="I6" s="126"/>
      <c r="N6"/>
    </row>
    <row r="7" spans="1:18" x14ac:dyDescent="0.2">
      <c r="A7" s="21" t="s">
        <v>1280</v>
      </c>
      <c r="B7" s="304">
        <f>IFERROR(VLOOKUP(A7,'School Tables'!$C$3:$D$365,2,FALSE),"")</f>
        <v>21725</v>
      </c>
      <c r="C7" s="297" t="str">
        <f>IFERROR(INDEX('School Tables'!$B$3:$B$365,MATCH('School Level Expenditures'!B7,'School Tables'!$D$3:$D$365,0)),"")</f>
        <v>Monadnock Regional</v>
      </c>
      <c r="D7" s="294">
        <v>3012434.91</v>
      </c>
      <c r="E7" s="294">
        <v>233384.21</v>
      </c>
      <c r="F7" s="307">
        <f t="shared" si="0"/>
        <v>3245819.12</v>
      </c>
      <c r="G7" s="297"/>
      <c r="H7" s="297"/>
      <c r="I7" s="126"/>
      <c r="N7"/>
    </row>
    <row r="8" spans="1:18" x14ac:dyDescent="0.2">
      <c r="A8" s="21" t="s">
        <v>1281</v>
      </c>
      <c r="B8" s="304">
        <f>IFERROR(VLOOKUP(A8,'School Tables'!$C$3:$D$365,2,FALSE),"")</f>
        <v>21665</v>
      </c>
      <c r="C8" s="297" t="str">
        <f>IFERROR(INDEX('School Tables'!$B$3:$B$365,MATCH('School Level Expenditures'!B8,'School Tables'!$D$3:$D$365,0)),"")</f>
        <v>Monadnock Regional</v>
      </c>
      <c r="D8" s="294">
        <v>3063783.23</v>
      </c>
      <c r="E8" s="294">
        <v>237362.35</v>
      </c>
      <c r="F8" s="307">
        <f t="shared" si="0"/>
        <v>3301145.58</v>
      </c>
      <c r="G8" s="297"/>
      <c r="H8" s="297"/>
      <c r="I8" s="126"/>
      <c r="N8"/>
    </row>
    <row r="9" spans="1:18" x14ac:dyDescent="0.2">
      <c r="A9" s="21" t="s">
        <v>1624</v>
      </c>
      <c r="B9" s="304">
        <f>IFERROR(VLOOKUP(A9,'School Tables'!$C$3:$D$365,2,FALSE),"")</f>
        <v>21670</v>
      </c>
      <c r="C9" s="297" t="str">
        <f>IFERROR(INDEX('School Tables'!$B$3:$B$365,MATCH('School Level Expenditures'!B9,'School Tables'!$D$3:$D$365,0)),"")</f>
        <v>Monadnock Regional</v>
      </c>
      <c r="D9" s="294">
        <v>1044082.55</v>
      </c>
      <c r="E9" s="294">
        <v>80888.84</v>
      </c>
      <c r="F9" s="307">
        <f t="shared" si="0"/>
        <v>1124971.3900000001</v>
      </c>
      <c r="G9" s="297"/>
      <c r="H9" s="297"/>
      <c r="I9" s="126"/>
      <c r="N9"/>
    </row>
    <row r="10" spans="1:18" x14ac:dyDescent="0.2">
      <c r="A10" s="21" t="s">
        <v>1562</v>
      </c>
      <c r="B10" s="304">
        <f>IFERROR(VLOOKUP(A10,'School Tables'!$C$3:$D$365,2,FALSE),"")</f>
        <v>99999</v>
      </c>
      <c r="C10" s="297" t="str">
        <f>IFERROR(INDEX('School Tables'!$B$3:$B$365,MATCH('School Level Expenditures'!B10,'School Tables'!$D$3:$D$365,0)),"")</f>
        <v>Other District Expenditures</v>
      </c>
      <c r="D10" s="294">
        <v>905748.1</v>
      </c>
      <c r="E10" s="294"/>
      <c r="F10" s="307">
        <f t="shared" si="0"/>
        <v>905748.1</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4330568.03</v>
      </c>
      <c r="G24" s="303">
        <f>'DOE25'!L230+'DOE25'!L310</f>
        <v>4330568.0299999993</v>
      </c>
      <c r="H24" s="337">
        <f>F24-G24</f>
        <v>0</v>
      </c>
      <c r="I24" s="309" t="str">
        <f>IF(H24=0,"","Does not match DOE25 page 8 and 12 Totals!!")</f>
        <v/>
      </c>
      <c r="N24"/>
    </row>
    <row r="25" spans="1:14" x14ac:dyDescent="0.2">
      <c r="A25" s="21" t="s">
        <v>1278</v>
      </c>
      <c r="B25" s="304">
        <f>IFERROR(VLOOKUP(A25,'School Tables'!$I$3:$J$80,2,FALSE),"")</f>
        <v>26980</v>
      </c>
      <c r="C25" s="297" t="str">
        <f t="array" ref="C25">IFERROR(INDEX('School Tables'!$H$3:$H$80,MATCH('School Level Expenditures'!B25,'School Tables'!$J$3:$J$80,0)),"")</f>
        <v>Monadnock Regional</v>
      </c>
      <c r="D25" s="294">
        <v>4046770.31</v>
      </c>
      <c r="E25" s="294">
        <v>75845.350000000006</v>
      </c>
      <c r="F25" s="307">
        <f>D25+E25</f>
        <v>4122615.66</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207952.37</v>
      </c>
      <c r="E26" s="294"/>
      <c r="F26" s="307">
        <f t="shared" ref="F26:F32" si="1">D26+E26</f>
        <v>207952.37</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8973903.3400000017</v>
      </c>
      <c r="G36" s="303">
        <f>'DOE25'!L248+'DOE25'!L329</f>
        <v>8973903.3399999999</v>
      </c>
      <c r="H36" s="337">
        <f>F36-G36</f>
        <v>0</v>
      </c>
      <c r="I36" s="309" t="str">
        <f>IF(H36=0,"","Does not match DOE25 page 9 and 13 Totals!!")</f>
        <v/>
      </c>
      <c r="N36"/>
    </row>
    <row r="37" spans="1:14" x14ac:dyDescent="0.2">
      <c r="A37" s="21" t="s">
        <v>1279</v>
      </c>
      <c r="B37" s="304">
        <f>IFERROR(VLOOKUP(A37,'School Tables'!$O$3:$P$118,2,FALSE),"")</f>
        <v>21700</v>
      </c>
      <c r="C37" s="297" t="str">
        <f t="array" ref="C37">IFERROR(INDEX('School Tables'!$N$3:$N$118,MATCH('School Level Expenditures'!B37,'School Tables'!$P$3:$P$118,0)),"")</f>
        <v>Monadnock Regional</v>
      </c>
      <c r="D37" s="294">
        <v>8391437.3200000003</v>
      </c>
      <c r="E37" s="294">
        <v>155778.56</v>
      </c>
      <c r="F37" s="307">
        <f>D37+E37</f>
        <v>8547215.8800000008</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426687.46</v>
      </c>
      <c r="E38" s="294"/>
      <c r="F38" s="307">
        <f t="shared" ref="F38:F41" si="2">D38+E38</f>
        <v>426687.46</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Monadnock Regional School District - SAU #93</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1253449.1599999999</v>
      </c>
      <c r="D8" s="95">
        <f>'DOE25'!G9</f>
        <v>196601</v>
      </c>
      <c r="E8" s="95">
        <f>'DOE25'!H9</f>
        <v>178914</v>
      </c>
      <c r="F8" s="95">
        <f>'DOE25'!I9</f>
        <v>889686.78</v>
      </c>
      <c r="G8" s="95">
        <f>'DOE25'!J9</f>
        <v>0</v>
      </c>
      <c r="H8" s="124"/>
      <c r="I8" s="124"/>
    </row>
    <row r="9" spans="1:9" x14ac:dyDescent="0.2">
      <c r="A9" s="1" t="s">
        <v>140</v>
      </c>
      <c r="B9" s="6">
        <v>110</v>
      </c>
      <c r="C9" s="95">
        <f>'DOE25'!F10</f>
        <v>1051408.8799999999</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317904</v>
      </c>
      <c r="D11" s="95">
        <f>'DOE25'!G12</f>
        <v>0</v>
      </c>
      <c r="E11" s="95">
        <f>'DOE25'!H12</f>
        <v>0</v>
      </c>
      <c r="F11" s="95">
        <f>'DOE25'!I12</f>
        <v>28444</v>
      </c>
      <c r="G11" s="95">
        <f>'DOE25'!J12</f>
        <v>525037.92999999993</v>
      </c>
      <c r="H11" s="124"/>
      <c r="I11" s="124"/>
    </row>
    <row r="12" spans="1:9" x14ac:dyDescent="0.2">
      <c r="A12" s="1" t="s">
        <v>143</v>
      </c>
      <c r="B12" s="6">
        <v>140</v>
      </c>
      <c r="C12" s="95">
        <f>'DOE25'!F13</f>
        <v>1034587.69</v>
      </c>
      <c r="D12" s="95">
        <f>'DOE25'!G13</f>
        <v>62199</v>
      </c>
      <c r="E12" s="95">
        <f>'DOE25'!H13</f>
        <v>547909</v>
      </c>
      <c r="F12" s="95">
        <f>'DOE25'!I13</f>
        <v>0</v>
      </c>
      <c r="G12" s="95">
        <f>'DOE25'!J13</f>
        <v>0</v>
      </c>
      <c r="H12" s="124"/>
      <c r="I12" s="124"/>
    </row>
    <row r="13" spans="1:9" x14ac:dyDescent="0.2">
      <c r="A13" s="1" t="s">
        <v>144</v>
      </c>
      <c r="B13" s="6">
        <v>150</v>
      </c>
      <c r="C13" s="95">
        <f>'DOE25'!F14</f>
        <v>1060.3900000000001</v>
      </c>
      <c r="D13" s="95">
        <f>'DOE25'!G14</f>
        <v>30420</v>
      </c>
      <c r="E13" s="95">
        <f>'DOE25'!H14</f>
        <v>16619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21437.25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3658410.12</v>
      </c>
      <c r="D18" s="41">
        <f>SUM(D8:D17)</f>
        <v>310657.25</v>
      </c>
      <c r="E18" s="41">
        <f>SUM(E8:E17)</f>
        <v>743442</v>
      </c>
      <c r="F18" s="41">
        <f>SUM(F8:F17)</f>
        <v>918130.78</v>
      </c>
      <c r="G18" s="41">
        <f>SUM(G8:G17)</f>
        <v>525037.92999999993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560415</v>
      </c>
      <c r="F21" s="95">
        <f>'DOE25'!I22</f>
        <v>0</v>
      </c>
      <c r="G21" s="95">
        <f>'DOE25'!J22</f>
        <v>0</v>
      </c>
      <c r="H21" s="124"/>
      <c r="I21" s="124"/>
    </row>
    <row r="22" spans="1:9" x14ac:dyDescent="0.2">
      <c r="A22" s="1" t="s">
        <v>151</v>
      </c>
      <c r="B22" s="6">
        <v>410</v>
      </c>
      <c r="C22" s="95">
        <f>'DOE25'!F23</f>
        <v>508492</v>
      </c>
      <c r="D22" s="95">
        <f>'DOE25'!G23</f>
        <v>0</v>
      </c>
      <c r="E22" s="95">
        <f>'DOE25'!H23</f>
        <v>0</v>
      </c>
      <c r="F22" s="95">
        <f>'DOE25'!I23</f>
        <v>0</v>
      </c>
      <c r="G22" s="95">
        <f>'DOE25'!J23</f>
        <v>0</v>
      </c>
      <c r="H22" s="124"/>
      <c r="I22" s="124"/>
    </row>
    <row r="23" spans="1:9" x14ac:dyDescent="0.2">
      <c r="A23" s="1" t="s">
        <v>152</v>
      </c>
      <c r="B23" s="6">
        <v>420</v>
      </c>
      <c r="C23" s="95">
        <f>'DOE25'!F24</f>
        <v>395851</v>
      </c>
      <c r="D23" s="95">
        <f>'DOE25'!G24</f>
        <v>34247</v>
      </c>
      <c r="E23" s="95">
        <f>'DOE25'!H24</f>
        <v>46262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652970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36816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1557313</v>
      </c>
      <c r="D31" s="41">
        <f>SUM(D21:D30)</f>
        <v>34247</v>
      </c>
      <c r="E31" s="41">
        <f>SUM(E21:E30)</f>
        <v>643493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21437.25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254973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918130.78</v>
      </c>
      <c r="G42" s="95">
        <f>'DOE25'!J43</f>
        <v>0</v>
      </c>
      <c r="H42" s="124"/>
      <c r="I42" s="124"/>
    </row>
    <row r="43" spans="1:9" x14ac:dyDescent="0.2">
      <c r="A43" s="1" t="s">
        <v>863</v>
      </c>
      <c r="B43" s="6">
        <v>755</v>
      </c>
      <c r="C43" s="95">
        <f>'DOE25'!F44</f>
        <v>110001</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392381</v>
      </c>
      <c r="D47" s="95">
        <f>'DOE25'!G48</f>
        <v>0</v>
      </c>
      <c r="E47" s="95">
        <f>'DOE25'!H48</f>
        <v>99949</v>
      </c>
      <c r="F47" s="95">
        <f>'DOE25'!I48</f>
        <v>0</v>
      </c>
      <c r="G47" s="95">
        <f>'DOE25'!J48</f>
        <v>525037.92999999993</v>
      </c>
      <c r="H47" s="124"/>
      <c r="I47" s="124"/>
    </row>
    <row r="48" spans="1:9" x14ac:dyDescent="0.2">
      <c r="A48" s="1" t="s">
        <v>882</v>
      </c>
      <c r="B48" s="6">
        <v>753</v>
      </c>
      <c r="C48" s="95">
        <f>'DOE25'!F49</f>
        <v>27849</v>
      </c>
      <c r="D48" s="95">
        <f>'DOE25'!G49</f>
        <v>0</v>
      </c>
      <c r="E48" s="95">
        <f>'DOE25'!H49</f>
        <v>0</v>
      </c>
      <c r="F48" s="95">
        <f>'DOE25'!I49</f>
        <v>0</v>
      </c>
      <c r="G48" s="95">
        <f>'DOE25'!J49</f>
        <v>0</v>
      </c>
      <c r="H48" s="124"/>
      <c r="I48" s="124"/>
    </row>
    <row r="49" spans="1:9" ht="12" thickBot="1" x14ac:dyDescent="0.25">
      <c r="A49" s="29" t="s">
        <v>883</v>
      </c>
      <c r="B49" s="71">
        <v>770</v>
      </c>
      <c r="C49" s="95">
        <f>'DOE25'!F50</f>
        <v>1570866.12</v>
      </c>
      <c r="D49" s="24" t="s">
        <v>288</v>
      </c>
      <c r="E49" s="24" t="s">
        <v>288</v>
      </c>
      <c r="F49" s="24" t="s">
        <v>288</v>
      </c>
      <c r="G49" s="24" t="s">
        <v>288</v>
      </c>
      <c r="H49" s="124"/>
      <c r="I49" s="124"/>
    </row>
    <row r="50" spans="1:9" ht="12.75" thickTop="1" thickBot="1" x14ac:dyDescent="0.25">
      <c r="A50" s="38" t="s">
        <v>884</v>
      </c>
      <c r="B50" s="48"/>
      <c r="C50" s="41">
        <f>SUM(C34:C49)</f>
        <v>2101097.12</v>
      </c>
      <c r="D50" s="41">
        <f>SUM(D34:D49)</f>
        <v>276410.25</v>
      </c>
      <c r="E50" s="41">
        <f>SUM(E34:E49)</f>
        <v>99949</v>
      </c>
      <c r="F50" s="41">
        <f>SUM(F34:F49)</f>
        <v>918130.78</v>
      </c>
      <c r="G50" s="41">
        <f>SUM(G34:G49)</f>
        <v>525037.92999999993</v>
      </c>
      <c r="H50" s="124"/>
      <c r="I50" s="124"/>
    </row>
    <row r="51" spans="1:9" ht="12" thickTop="1" x14ac:dyDescent="0.2">
      <c r="A51" s="38" t="s">
        <v>885</v>
      </c>
      <c r="B51" s="2"/>
      <c r="C51" s="41">
        <f>C50+C31</f>
        <v>3658410.12</v>
      </c>
      <c r="D51" s="41">
        <f>D50+D31</f>
        <v>310657.25</v>
      </c>
      <c r="E51" s="41">
        <f>E50+E31</f>
        <v>743442</v>
      </c>
      <c r="F51" s="41">
        <f>F50+F31</f>
        <v>918130.78</v>
      </c>
      <c r="G51" s="41">
        <f>G50+G31</f>
        <v>525037.92999999993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18187713</v>
      </c>
      <c r="D56" s="95">
        <f>'DOE25'!G60</f>
        <v>0</v>
      </c>
      <c r="E56" s="95">
        <f>'DOE25'!H60</f>
        <v>0</v>
      </c>
      <c r="F56" s="95">
        <f>'DOE25'!I60</f>
        <v>0</v>
      </c>
      <c r="G56" s="95">
        <f>'DOE25'!J60</f>
        <v>0</v>
      </c>
      <c r="H56"/>
      <c r="I56"/>
    </row>
    <row r="57" spans="1:9" x14ac:dyDescent="0.2">
      <c r="A57" s="1" t="s">
        <v>164</v>
      </c>
      <c r="B57" s="6" t="s">
        <v>165</v>
      </c>
      <c r="C57" s="95">
        <f>'DOE25'!F79</f>
        <v>79840.03</v>
      </c>
      <c r="D57" s="24" t="s">
        <v>288</v>
      </c>
      <c r="E57" s="95">
        <f>'DOE25'!H79</f>
        <v>200193.02</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25251.23</v>
      </c>
      <c r="D59" s="95">
        <f>'DOE25'!G96</f>
        <v>0</v>
      </c>
      <c r="E59" s="95">
        <f>'DOE25'!H96</f>
        <v>0</v>
      </c>
      <c r="F59" s="95">
        <f>'DOE25'!I96</f>
        <v>0</v>
      </c>
      <c r="G59" s="95">
        <f>'DOE25'!J96</f>
        <v>7784.4</v>
      </c>
      <c r="H59"/>
      <c r="I59"/>
    </row>
    <row r="60" spans="1:9" x14ac:dyDescent="0.2">
      <c r="A60" s="1" t="s">
        <v>170</v>
      </c>
      <c r="B60" s="118" t="s">
        <v>171</v>
      </c>
      <c r="C60" s="24" t="s">
        <v>288</v>
      </c>
      <c r="D60" s="95">
        <f>'DOE25'!G97</f>
        <v>321052.86</v>
      </c>
      <c r="E60" s="24" t="s">
        <v>288</v>
      </c>
      <c r="F60" s="24" t="s">
        <v>288</v>
      </c>
      <c r="G60" s="24" t="s">
        <v>288</v>
      </c>
      <c r="H60"/>
      <c r="I60"/>
    </row>
    <row r="61" spans="1:9" ht="12" thickBot="1" x14ac:dyDescent="0.25">
      <c r="A61" s="1" t="s">
        <v>172</v>
      </c>
      <c r="B61" s="118" t="s">
        <v>173</v>
      </c>
      <c r="C61" s="95">
        <f>SUM('DOE25'!F98:F110)</f>
        <v>191837.91999999998</v>
      </c>
      <c r="D61" s="95">
        <f>SUM('DOE25'!G98:G110)</f>
        <v>0</v>
      </c>
      <c r="E61" s="95">
        <f>SUM('DOE25'!H98:H110)</f>
        <v>11990.89</v>
      </c>
      <c r="F61" s="95">
        <f>SUM('DOE25'!I98:I110)</f>
        <v>0</v>
      </c>
      <c r="G61" s="95">
        <f>SUM('DOE25'!J98:J110)</f>
        <v>0</v>
      </c>
      <c r="H61"/>
      <c r="I61"/>
    </row>
    <row r="62" spans="1:9" ht="12.75" thickTop="1" thickBot="1" x14ac:dyDescent="0.25">
      <c r="A62" s="29" t="s">
        <v>174</v>
      </c>
      <c r="B62" s="6"/>
      <c r="C62" s="130">
        <f>SUM(C57:C61)</f>
        <v>296929.18</v>
      </c>
      <c r="D62" s="130">
        <f>SUM(D57:D61)</f>
        <v>321052.86</v>
      </c>
      <c r="E62" s="130">
        <f>SUM(E57:E61)</f>
        <v>212183.90999999997</v>
      </c>
      <c r="F62" s="130">
        <f>SUM(F57:F61)</f>
        <v>0</v>
      </c>
      <c r="G62" s="130">
        <f>SUM(G57:G61)</f>
        <v>7784.4</v>
      </c>
      <c r="H62"/>
      <c r="I62"/>
    </row>
    <row r="63" spans="1:9" ht="12" thickTop="1" x14ac:dyDescent="0.2">
      <c r="A63" s="29" t="s">
        <v>175</v>
      </c>
      <c r="B63" s="6"/>
      <c r="C63" s="22">
        <f>C56+C62</f>
        <v>18484642.18</v>
      </c>
      <c r="D63" s="22">
        <f>D56+D62</f>
        <v>321052.86</v>
      </c>
      <c r="E63" s="22">
        <f>E56+E62</f>
        <v>212183.90999999997</v>
      </c>
      <c r="F63" s="22">
        <f>F56+F62</f>
        <v>0</v>
      </c>
      <c r="G63" s="22">
        <f>G56+G62</f>
        <v>7784.4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10286782.43</v>
      </c>
      <c r="D66" s="24" t="s">
        <v>288</v>
      </c>
      <c r="E66" s="24" t="s">
        <v>288</v>
      </c>
      <c r="F66" s="24" t="s">
        <v>288</v>
      </c>
      <c r="G66" s="24" t="s">
        <v>288</v>
      </c>
      <c r="H66"/>
      <c r="I66"/>
    </row>
    <row r="67" spans="1:9" x14ac:dyDescent="0.2">
      <c r="A67" s="1" t="s">
        <v>770</v>
      </c>
      <c r="B67" s="6">
        <v>3112</v>
      </c>
      <c r="C67" s="95">
        <f>'DOE25'!F118</f>
        <v>2330796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15815.77</v>
      </c>
      <c r="D69" s="95">
        <f>'DOE25'!G120</f>
        <v>0</v>
      </c>
      <c r="E69" s="95">
        <f>'DOE25'!H120</f>
        <v>0</v>
      </c>
      <c r="F69" s="95">
        <f>'DOE25'!I120</f>
        <v>0</v>
      </c>
      <c r="G69" s="95">
        <f>'DOE25'!J120</f>
        <v>0</v>
      </c>
      <c r="H69"/>
      <c r="I69"/>
    </row>
    <row r="70" spans="1:9" ht="12" thickTop="1" x14ac:dyDescent="0.2">
      <c r="A70" s="29" t="s">
        <v>252</v>
      </c>
      <c r="B70" s="2"/>
      <c r="C70" s="139">
        <f>SUM(C66:C69)</f>
        <v>12633394.199999999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465735.56</v>
      </c>
      <c r="D75" s="24" t="s">
        <v>288</v>
      </c>
      <c r="E75" s="24" t="s">
        <v>288</v>
      </c>
      <c r="F75" s="24" t="s">
        <v>288</v>
      </c>
      <c r="G75" s="24" t="s">
        <v>288</v>
      </c>
      <c r="H75"/>
      <c r="I75"/>
    </row>
    <row r="76" spans="1:9" x14ac:dyDescent="0.2">
      <c r="A76" s="1" t="s">
        <v>257</v>
      </c>
      <c r="B76" s="6" t="s">
        <v>179</v>
      </c>
      <c r="C76" s="95">
        <f>SUM('DOE25'!F127:F130)</f>
        <v>4704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12785.65</v>
      </c>
      <c r="E77" s="95">
        <f>SUM('DOE25'!H131:H135)</f>
        <v>0</v>
      </c>
      <c r="F77" s="95">
        <f>SUM('DOE25'!I131:I135)</f>
        <v>0</v>
      </c>
      <c r="G77" s="95">
        <f>SUM('DOE25'!J131:J135)</f>
        <v>0</v>
      </c>
      <c r="H77"/>
      <c r="I77"/>
    </row>
    <row r="78" spans="1:9" ht="12.75" thickTop="1" thickBot="1" x14ac:dyDescent="0.25">
      <c r="A78" s="29" t="s">
        <v>259</v>
      </c>
      <c r="B78" s="6"/>
      <c r="C78" s="130">
        <f>SUM(C72:C77)</f>
        <v>470439.56</v>
      </c>
      <c r="D78" s="130">
        <f>SUM(D72:D77)</f>
        <v>12785.65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13103833.76</v>
      </c>
      <c r="D81" s="130">
        <f>SUM(D79:D80)+D78+D70</f>
        <v>12785.65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139144.29</v>
      </c>
      <c r="D88" s="340">
        <f>SUM('DOE25'!G153:G162)</f>
        <v>510599.79000000004</v>
      </c>
      <c r="E88" s="340">
        <f>SUM('DOE25'!H153:H162)</f>
        <v>1324204.9300000002</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139144.29</v>
      </c>
      <c r="D91" s="131">
        <f>SUM(D85:D90)</f>
        <v>510599.79000000004</v>
      </c>
      <c r="E91" s="131">
        <f>SUM(E85:E90)</f>
        <v>1324204.9300000002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1146000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28444</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1174444</v>
      </c>
      <c r="G103" s="86">
        <f>SUM(G93:G102)</f>
        <v>0</v>
      </c>
    </row>
    <row r="104" spans="1:7" ht="12.75" thickTop="1" thickBot="1" x14ac:dyDescent="0.25">
      <c r="A104" s="33" t="s">
        <v>761</v>
      </c>
      <c r="C104" s="86">
        <f>C63+C81+C91+C103</f>
        <v>31727620.229999997</v>
      </c>
      <c r="D104" s="86">
        <f>D63+D81+D91+D103</f>
        <v>844438.3</v>
      </c>
      <c r="E104" s="86">
        <f>E63+E81+E91+E103</f>
        <v>1536388.84</v>
      </c>
      <c r="F104" s="86">
        <f>F63+F81+F91+F103</f>
        <v>1174444</v>
      </c>
      <c r="G104" s="86">
        <f>G63+G81+G103</f>
        <v>7784.4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11461902.27</v>
      </c>
      <c r="D109" s="24" t="s">
        <v>288</v>
      </c>
      <c r="E109" s="95">
        <f>('DOE25'!L277)+('DOE25'!L296)+('DOE25'!L315)</f>
        <v>307155.27</v>
      </c>
      <c r="F109" s="24" t="s">
        <v>288</v>
      </c>
      <c r="G109" s="24" t="s">
        <v>288</v>
      </c>
    </row>
    <row r="110" spans="1:7" x14ac:dyDescent="0.2">
      <c r="A110" t="s">
        <v>198</v>
      </c>
      <c r="B110" s="32" t="s">
        <v>199</v>
      </c>
      <c r="C110" s="95">
        <f>('DOE25'!L199)+('DOE25'!L217)+('DOE25'!L235)</f>
        <v>7121748.2300000004</v>
      </c>
      <c r="D110" s="24" t="s">
        <v>288</v>
      </c>
      <c r="E110" s="95">
        <f>('DOE25'!L278)+('DOE25'!L297)+('DOE25'!L316)</f>
        <v>257760.91000000003</v>
      </c>
      <c r="F110" s="24" t="s">
        <v>288</v>
      </c>
      <c r="G110" s="24" t="s">
        <v>288</v>
      </c>
    </row>
    <row r="111" spans="1:7" x14ac:dyDescent="0.2">
      <c r="A111" t="s">
        <v>200</v>
      </c>
      <c r="B111" s="32" t="s">
        <v>165</v>
      </c>
      <c r="C111" s="95">
        <f>('DOE25'!L200)+('DOE25'!L218)+('DOE25'!L236)</f>
        <v>56152.480000000003</v>
      </c>
      <c r="D111" s="24" t="s">
        <v>288</v>
      </c>
      <c r="E111" s="95">
        <f>('DOE25'!L279)+('DOE25'!L298)+('DOE25'!L317)</f>
        <v>0</v>
      </c>
      <c r="F111" s="24" t="s">
        <v>288</v>
      </c>
      <c r="G111" s="24" t="s">
        <v>288</v>
      </c>
    </row>
    <row r="112" spans="1:7" x14ac:dyDescent="0.2">
      <c r="A112" t="s">
        <v>201</v>
      </c>
      <c r="B112" s="32" t="s">
        <v>167</v>
      </c>
      <c r="C112" s="95">
        <f>('DOE25'!L201)+('DOE25'!L219)+('DOE25'!L237)</f>
        <v>318151.15000000002</v>
      </c>
      <c r="D112" s="24" t="s">
        <v>288</v>
      </c>
      <c r="E112" s="95">
        <f>+('DOE25'!L280)+('DOE25'!L299)+('DOE25'!L318)</f>
        <v>371579.29000000004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4611.8900000000003</v>
      </c>
      <c r="F114" s="24" t="s">
        <v>288</v>
      </c>
      <c r="G114" s="24" t="s">
        <v>288</v>
      </c>
    </row>
    <row r="115" spans="1:7" ht="12.75" thickTop="1" thickBot="1" x14ac:dyDescent="0.25">
      <c r="A115" s="33" t="s">
        <v>205</v>
      </c>
      <c r="C115" s="86">
        <f>SUM(C109:C114)</f>
        <v>18957954.129999999</v>
      </c>
      <c r="D115" s="86">
        <f>SUM(D109:D114)</f>
        <v>0</v>
      </c>
      <c r="E115" s="86">
        <f>SUM(E109:E114)</f>
        <v>941107.3600000001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2095815.0899999999</v>
      </c>
      <c r="D118" s="24" t="s">
        <v>288</v>
      </c>
      <c r="E118" s="95">
        <f>+('DOE25'!L282)+('DOE25'!L301)+('DOE25'!L320)</f>
        <v>98163.089999999982</v>
      </c>
      <c r="F118" s="24" t="s">
        <v>288</v>
      </c>
      <c r="G118" s="24" t="s">
        <v>288</v>
      </c>
    </row>
    <row r="119" spans="1:7" x14ac:dyDescent="0.2">
      <c r="A119" t="s">
        <v>208</v>
      </c>
      <c r="B119" s="32" t="s">
        <v>209</v>
      </c>
      <c r="C119" s="95">
        <f>('DOE25'!L204)+('DOE25'!L222)+('DOE25'!L240)</f>
        <v>811696.40999999992</v>
      </c>
      <c r="D119" s="24" t="s">
        <v>288</v>
      </c>
      <c r="E119" s="95">
        <f>+('DOE25'!L283)+('DOE25'!L302)+('DOE25'!L321)</f>
        <v>121891.99</v>
      </c>
      <c r="F119" s="24" t="s">
        <v>288</v>
      </c>
      <c r="G119" s="24" t="s">
        <v>288</v>
      </c>
    </row>
    <row r="120" spans="1:7" x14ac:dyDescent="0.2">
      <c r="A120" t="s">
        <v>210</v>
      </c>
      <c r="B120" s="32" t="s">
        <v>211</v>
      </c>
      <c r="C120" s="95">
        <f>('DOE25'!L205)+('DOE25'!L223)+('DOE25'!L241)</f>
        <v>632281.21</v>
      </c>
      <c r="D120" s="24" t="s">
        <v>288</v>
      </c>
      <c r="E120" s="95">
        <f>+('DOE25'!L284)+('DOE25'!L303)+('DOE25'!L322)</f>
        <v>106091.9</v>
      </c>
      <c r="F120" s="24" t="s">
        <v>288</v>
      </c>
      <c r="G120" s="24" t="s">
        <v>288</v>
      </c>
    </row>
    <row r="121" spans="1:7" x14ac:dyDescent="0.2">
      <c r="A121" t="s">
        <v>212</v>
      </c>
      <c r="B121" s="32" t="s">
        <v>213</v>
      </c>
      <c r="C121" s="95">
        <f>('DOE25'!L206)+('DOE25'!L224)+('DOE25'!L242)</f>
        <v>1805354.4099999997</v>
      </c>
      <c r="D121" s="24" t="s">
        <v>288</v>
      </c>
      <c r="E121" s="95">
        <f>+('DOE25'!L285)+('DOE25'!L304)+('DOE25'!L323)</f>
        <v>150953.31</v>
      </c>
      <c r="F121" s="24" t="s">
        <v>288</v>
      </c>
      <c r="G121" s="24" t="s">
        <v>288</v>
      </c>
    </row>
    <row r="122" spans="1:7" x14ac:dyDescent="0.2">
      <c r="A122" t="s">
        <v>214</v>
      </c>
      <c r="B122" s="32" t="s">
        <v>215</v>
      </c>
      <c r="C122" s="95">
        <f>('DOE25'!L207)+('DOE25'!L225)+('DOE25'!L243)</f>
        <v>806924.03</v>
      </c>
      <c r="D122" s="24" t="s">
        <v>288</v>
      </c>
      <c r="E122" s="95">
        <f>+('DOE25'!L286)+('DOE25'!L305)+('DOE25'!L324)</f>
        <v>66901.72</v>
      </c>
      <c r="F122" s="24" t="s">
        <v>288</v>
      </c>
      <c r="G122" s="24" t="s">
        <v>288</v>
      </c>
    </row>
    <row r="123" spans="1:7" x14ac:dyDescent="0.2">
      <c r="A123" t="s">
        <v>216</v>
      </c>
      <c r="B123" s="32" t="s">
        <v>217</v>
      </c>
      <c r="C123" s="95">
        <f>('DOE25'!L208)+('DOE25'!L226)+('DOE25'!L244)</f>
        <v>2497754.59</v>
      </c>
      <c r="D123" s="24" t="s">
        <v>288</v>
      </c>
      <c r="E123" s="95">
        <f>+('DOE25'!L287)+('DOE25'!L306)+('DOE25'!L325)</f>
        <v>0</v>
      </c>
      <c r="F123" s="24" t="s">
        <v>288</v>
      </c>
      <c r="G123" s="24" t="s">
        <v>288</v>
      </c>
    </row>
    <row r="124" spans="1:7" x14ac:dyDescent="0.2">
      <c r="A124" t="s">
        <v>218</v>
      </c>
      <c r="B124" s="32" t="s">
        <v>219</v>
      </c>
      <c r="C124" s="95">
        <f>('DOE25'!L209)+('DOE25'!L227)+('DOE25'!L245+'DOE25'!L255)</f>
        <v>1724013.63</v>
      </c>
      <c r="D124" s="24" t="s">
        <v>288</v>
      </c>
      <c r="E124" s="95">
        <f>+('DOE25'!L288)+('DOE25'!L307)+('DOE25'!L326)</f>
        <v>12700.77</v>
      </c>
      <c r="F124" s="24" t="s">
        <v>288</v>
      </c>
      <c r="G124" s="24" t="s">
        <v>288</v>
      </c>
    </row>
    <row r="125" spans="1:7" x14ac:dyDescent="0.2">
      <c r="A125" t="s">
        <v>220</v>
      </c>
      <c r="B125" s="32" t="s">
        <v>221</v>
      </c>
      <c r="C125" s="95">
        <f>('DOE25'!L210)+('DOE25'!L228)+('DOE25'!L246)</f>
        <v>1180961.83</v>
      </c>
      <c r="D125" s="24" t="s">
        <v>288</v>
      </c>
      <c r="E125" s="95">
        <f>+('DOE25'!L289)+('DOE25'!L308)+('DOE25'!L327)</f>
        <v>19386.699999999997</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844730.04999999993</v>
      </c>
      <c r="E127" s="24" t="s">
        <v>288</v>
      </c>
      <c r="F127" s="24" t="s">
        <v>288</v>
      </c>
      <c r="G127" s="24" t="s">
        <v>288</v>
      </c>
    </row>
    <row r="128" spans="1:7" ht="12.75" thickTop="1" thickBot="1" x14ac:dyDescent="0.25">
      <c r="A128" s="33" t="s">
        <v>226</v>
      </c>
      <c r="C128" s="86">
        <f>SUM(C118:C127)</f>
        <v>11554801.199999997</v>
      </c>
      <c r="D128" s="86">
        <f>SUM(D118:D127)</f>
        <v>844730.04999999993</v>
      </c>
      <c r="E128" s="86">
        <f>SUM(E118:E127)</f>
        <v>576089.48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962941</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1146000</v>
      </c>
      <c r="D137" s="24" t="s">
        <v>288</v>
      </c>
      <c r="E137" s="129">
        <f>'DOE25'!L347</f>
        <v>0</v>
      </c>
      <c r="F137" s="24" t="s">
        <v>288</v>
      </c>
      <c r="G137" s="24" t="s">
        <v>288</v>
      </c>
    </row>
    <row r="138" spans="1:7" x14ac:dyDescent="0.2">
      <c r="A138" t="s">
        <v>238</v>
      </c>
      <c r="B138" s="32">
        <v>5251</v>
      </c>
      <c r="C138" s="95">
        <f>'DOE25'!L394</f>
        <v>47.6</v>
      </c>
      <c r="D138" s="24" t="s">
        <v>288</v>
      </c>
      <c r="E138" s="24" t="s">
        <v>288</v>
      </c>
      <c r="F138" s="24" t="s">
        <v>288</v>
      </c>
      <c r="G138" s="24" t="s">
        <v>288</v>
      </c>
    </row>
    <row r="139" spans="1:7" x14ac:dyDescent="0.2">
      <c r="A139" t="s">
        <v>239</v>
      </c>
      <c r="B139" s="32">
        <v>5252</v>
      </c>
      <c r="C139" s="95">
        <f>'DOE25'!L402</f>
        <v>7736.8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-7784.4000000000005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1146000.0000000002</v>
      </c>
      <c r="D144" s="141">
        <f>SUM(D130:D143)</f>
        <v>0</v>
      </c>
      <c r="E144" s="141">
        <f>SUM(E130:E143)</f>
        <v>0</v>
      </c>
      <c r="F144" s="141">
        <f>SUM(F130:F143)</f>
        <v>962941</v>
      </c>
      <c r="G144" s="141">
        <f>SUM(G130:G143)</f>
        <v>0</v>
      </c>
    </row>
    <row r="145" spans="1:9" ht="12.75" thickTop="1" thickBot="1" x14ac:dyDescent="0.25">
      <c r="A145" s="33" t="s">
        <v>244</v>
      </c>
      <c r="C145" s="86">
        <f>(C115+C128+C144)</f>
        <v>31658755.329999998</v>
      </c>
      <c r="D145" s="86">
        <f>(D115+D128+D144)</f>
        <v>844730.04999999993</v>
      </c>
      <c r="E145" s="86">
        <f>(E115+E128+E144)</f>
        <v>1517196.84</v>
      </c>
      <c r="F145" s="86">
        <f>(F115+F128+F144)</f>
        <v>962941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Monadnock Regional School District - SAU #93</v>
      </c>
    </row>
    <row r="3" spans="1:4" x14ac:dyDescent="0.2">
      <c r="B3" s="188" t="s">
        <v>1587</v>
      </c>
    </row>
    <row r="4" spans="1:4" x14ac:dyDescent="0.2">
      <c r="B4" t="s">
        <v>61</v>
      </c>
      <c r="C4" s="179">
        <f>IF('DOE25'!F666+'DOE25'!F671=0,0,ROUND('DOE25'!F673,0))</f>
        <v>18467</v>
      </c>
    </row>
    <row r="5" spans="1:4" x14ac:dyDescent="0.2">
      <c r="B5" t="s">
        <v>700</v>
      </c>
      <c r="C5" s="179">
        <f>IF('DOE25'!G666+'DOE25'!G671=0,0,ROUND('DOE25'!G673,0))</f>
        <v>17313</v>
      </c>
    </row>
    <row r="6" spans="1:4" x14ac:dyDescent="0.2">
      <c r="B6" t="s">
        <v>62</v>
      </c>
      <c r="C6" s="179">
        <f>IF('DOE25'!H666+'DOE25'!H671=0,0,ROUND('DOE25'!H673,0))</f>
        <v>18184</v>
      </c>
    </row>
    <row r="7" spans="1:4" x14ac:dyDescent="0.2">
      <c r="B7" t="s">
        <v>701</v>
      </c>
      <c r="C7" s="179">
        <f>IF('DOE25'!I666+'DOE25'!I671=0,0,ROUND('DOE25'!I673,0))</f>
        <v>18225</v>
      </c>
    </row>
    <row r="9" spans="1:4" x14ac:dyDescent="0.2">
      <c r="A9" s="187" t="s">
        <v>94</v>
      </c>
      <c r="B9" s="188" t="s">
        <v>1588</v>
      </c>
      <c r="C9" s="181" t="s">
        <v>720</v>
      </c>
      <c r="D9" s="181" t="s">
        <v>721</v>
      </c>
    </row>
    <row r="10" spans="1:4" x14ac:dyDescent="0.2">
      <c r="A10">
        <v>1100</v>
      </c>
      <c r="B10" t="s">
        <v>702</v>
      </c>
      <c r="C10" s="179">
        <f>ROUND('DOE25'!L198+'DOE25'!L216+'DOE25'!L234+'DOE25'!L277+'DOE25'!L296+'DOE25'!L315,0)</f>
        <v>11769058</v>
      </c>
      <c r="D10" s="182">
        <f>ROUND((C10/$C$28)*100,1)</f>
        <v>36.200000000000003</v>
      </c>
    </row>
    <row r="11" spans="1:4" x14ac:dyDescent="0.2">
      <c r="A11">
        <v>1200</v>
      </c>
      <c r="B11" t="s">
        <v>703</v>
      </c>
      <c r="C11" s="179">
        <f>ROUND('DOE25'!L199+'DOE25'!L217+'DOE25'!L235+'DOE25'!L278+'DOE25'!L297+'DOE25'!L316,0)</f>
        <v>7379509</v>
      </c>
      <c r="D11" s="182">
        <f>ROUND((C11/$C$28)*100,1)</f>
        <v>22.7</v>
      </c>
    </row>
    <row r="12" spans="1:4" x14ac:dyDescent="0.2">
      <c r="A12">
        <v>1300</v>
      </c>
      <c r="B12" t="s">
        <v>704</v>
      </c>
      <c r="C12" s="179">
        <f>ROUND('DOE25'!L200+'DOE25'!L218+'DOE25'!L236+'DOE25'!L279+'DOE25'!L298+'DOE25'!L317,0)</f>
        <v>56152</v>
      </c>
      <c r="D12" s="182">
        <f>ROUND((C12/$C$28)*100,1)</f>
        <v>0.2</v>
      </c>
    </row>
    <row r="13" spans="1:4" x14ac:dyDescent="0.2">
      <c r="A13">
        <v>1400</v>
      </c>
      <c r="B13" t="s">
        <v>705</v>
      </c>
      <c r="C13" s="179">
        <f>ROUND('DOE25'!L201+'DOE25'!L219+'DOE25'!L237+'DOE25'!L280+'DOE25'!L299+'DOE25'!L318,0)</f>
        <v>689730</v>
      </c>
      <c r="D13" s="182">
        <f>ROUND((C13/$C$28)*100,1)</f>
        <v>2.1</v>
      </c>
    </row>
    <row r="14" spans="1:4" x14ac:dyDescent="0.2">
      <c r="D14" s="182"/>
    </row>
    <row r="15" spans="1:4" x14ac:dyDescent="0.2">
      <c r="A15">
        <v>2100</v>
      </c>
      <c r="B15" t="s">
        <v>706</v>
      </c>
      <c r="C15" s="179">
        <f>ROUND('DOE25'!L203+'DOE25'!L221+'DOE25'!L239+'DOE25'!L282+'DOE25'!L301+'DOE25'!L320,0)</f>
        <v>2193978</v>
      </c>
      <c r="D15" s="182">
        <f t="shared" ref="D15:D27" si="0">ROUND((C15/$C$28)*100,1)</f>
        <v>6.7</v>
      </c>
    </row>
    <row r="16" spans="1:4" x14ac:dyDescent="0.2">
      <c r="A16">
        <v>2200</v>
      </c>
      <c r="B16" t="s">
        <v>707</v>
      </c>
      <c r="C16" s="179">
        <f>ROUND('DOE25'!L204+'DOE25'!L222+'DOE25'!L240+'DOE25'!L283+'DOE25'!L302+'DOE25'!L321,0)</f>
        <v>933588</v>
      </c>
      <c r="D16" s="182">
        <f t="shared" si="0"/>
        <v>2.9</v>
      </c>
    </row>
    <row r="17" spans="1:4" x14ac:dyDescent="0.2">
      <c r="A17" s="183" t="s">
        <v>723</v>
      </c>
      <c r="B17" t="s">
        <v>738</v>
      </c>
      <c r="C17" s="179">
        <f>ROUND('DOE25'!L205+'DOE25'!L210+'DOE25'!L223+'DOE25'!L228+'DOE25'!L241+'DOE25'!L246+'DOE25'!L284+'DOE25'!L289+'DOE25'!L303+'DOE25'!L308+'DOE25'!L322+'DOE25'!L327,0)</f>
        <v>1938722</v>
      </c>
      <c r="D17" s="182">
        <f t="shared" si="0"/>
        <v>6</v>
      </c>
    </row>
    <row r="18" spans="1:4" x14ac:dyDescent="0.2">
      <c r="A18">
        <v>2400</v>
      </c>
      <c r="B18" t="s">
        <v>711</v>
      </c>
      <c r="C18" s="179">
        <f>ROUND('DOE25'!L206+'DOE25'!L224+'DOE25'!L242+'DOE25'!L285+'DOE25'!L304+'DOE25'!L323,0)</f>
        <v>1956308</v>
      </c>
      <c r="D18" s="182">
        <f t="shared" si="0"/>
        <v>6</v>
      </c>
    </row>
    <row r="19" spans="1:4" x14ac:dyDescent="0.2">
      <c r="A19">
        <v>2500</v>
      </c>
      <c r="B19" t="s">
        <v>708</v>
      </c>
      <c r="C19" s="179">
        <f>ROUND('DOE25'!L207+'DOE25'!L225+'DOE25'!L243+'DOE25'!L286+'DOE25'!L305+'DOE25'!L324,0)</f>
        <v>873826</v>
      </c>
      <c r="D19" s="182">
        <f t="shared" si="0"/>
        <v>2.7</v>
      </c>
    </row>
    <row r="20" spans="1:4" x14ac:dyDescent="0.2">
      <c r="A20">
        <v>2600</v>
      </c>
      <c r="B20" t="s">
        <v>709</v>
      </c>
      <c r="C20" s="179">
        <f>ROUND('DOE25'!L208+'DOE25'!L226+'DOE25'!L244+'DOE25'!L287+'DOE25'!L306+'DOE25'!L325,0)</f>
        <v>2497755</v>
      </c>
      <c r="D20" s="182">
        <f t="shared" si="0"/>
        <v>7.7</v>
      </c>
    </row>
    <row r="21" spans="1:4" x14ac:dyDescent="0.2">
      <c r="A21">
        <v>2700</v>
      </c>
      <c r="B21" t="s">
        <v>710</v>
      </c>
      <c r="C21" s="179">
        <f>ROUND('DOE25'!L209+'DOE25'!L227+'DOE25'!L245+'DOE25'!L288+'DOE25'!L307+'DOE25'!L326,0)</f>
        <v>1736714</v>
      </c>
      <c r="D21" s="182">
        <f t="shared" si="0"/>
        <v>5.3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4612</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523677.14</v>
      </c>
      <c r="D27" s="182">
        <f t="shared" si="0"/>
        <v>1.6</v>
      </c>
    </row>
    <row r="28" spans="1:4" x14ac:dyDescent="0.2">
      <c r="B28" s="187" t="s">
        <v>719</v>
      </c>
      <c r="C28" s="180">
        <f>SUM(C10:C27)</f>
        <v>32553629.140000001</v>
      </c>
      <c r="D28" s="184">
        <f>ROUND(SUM(D10:D27),0)</f>
        <v>100</v>
      </c>
    </row>
    <row r="29" spans="1:4" x14ac:dyDescent="0.2">
      <c r="A29">
        <v>4000</v>
      </c>
      <c r="B29" t="s">
        <v>724</v>
      </c>
      <c r="C29" s="179">
        <f>ROUND('DOE25'!L256+'DOE25'!L337+'DOE25'!L375+'DOE25'!L376+'DOE25'!L377+'DOE25'!L378+'DOE25'!L379+'DOE25'!L380+'DOE25'!L381,0)</f>
        <v>962941</v>
      </c>
    </row>
    <row r="30" spans="1:4" x14ac:dyDescent="0.2">
      <c r="B30" s="187" t="s">
        <v>725</v>
      </c>
      <c r="C30" s="180">
        <f>SUM(C28:C29)</f>
        <v>33516570.140000001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18187713</v>
      </c>
      <c r="D35" s="182">
        <f t="shared" ref="D35:D40" si="1">ROUND((C35/$C$41)*100,1)</f>
        <v>53.8</v>
      </c>
    </row>
    <row r="36" spans="1:4" x14ac:dyDescent="0.2">
      <c r="B36" s="185" t="s">
        <v>739</v>
      </c>
      <c r="C36" s="179">
        <f>SUM('DOE25'!F112:J112)-SUM('DOE25'!G97:G110)+('DOE25'!F175+'DOE25'!F176+'DOE25'!I175+'DOE25'!I176)-C35</f>
        <v>516897.48999999836</v>
      </c>
      <c r="D36" s="182">
        <f t="shared" si="1"/>
        <v>1.5</v>
      </c>
    </row>
    <row r="37" spans="1:4" x14ac:dyDescent="0.2">
      <c r="A37" s="183" t="s">
        <v>835</v>
      </c>
      <c r="B37" s="185" t="s">
        <v>728</v>
      </c>
      <c r="C37" s="179">
        <f>ROUND('DOE25'!F117+'DOE25'!F118,0)</f>
        <v>12617578</v>
      </c>
      <c r="D37" s="182">
        <f t="shared" si="1"/>
        <v>37.299999999999997</v>
      </c>
    </row>
    <row r="38" spans="1:4" x14ac:dyDescent="0.2">
      <c r="A38" s="183" t="s">
        <v>734</v>
      </c>
      <c r="B38" s="185" t="s">
        <v>729</v>
      </c>
      <c r="C38" s="179">
        <f>ROUND(SUM('DOE25'!F140:J140)-SUM('DOE25'!F117:F119),0)</f>
        <v>499041</v>
      </c>
      <c r="D38" s="182">
        <f t="shared" si="1"/>
        <v>1.5</v>
      </c>
    </row>
    <row r="39" spans="1:4" x14ac:dyDescent="0.2">
      <c r="A39">
        <v>4000</v>
      </c>
      <c r="B39" s="185" t="s">
        <v>730</v>
      </c>
      <c r="C39" s="179">
        <f>ROUND('DOE25'!F170+'DOE25'!G170+'DOE25'!H170+'DOE25'!I170,0)</f>
        <v>1973949</v>
      </c>
      <c r="D39" s="182">
        <f t="shared" si="1"/>
        <v>5.8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33795178.489999995</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Monadnock Regional School District - SAU #93</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2020-10-29T16:59:25Z</cp:lastPrinted>
  <dcterms:created xsi:type="dcterms:W3CDTF">1997-12-04T19:04:30Z</dcterms:created>
  <dcterms:modified xsi:type="dcterms:W3CDTF">2020-12-11T18:50:21Z</dcterms:modified>
</cp:coreProperties>
</file>