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J254" i="1" l="1"/>
  <c r="I254" i="1"/>
  <c r="H254" i="1"/>
  <c r="G254" i="1"/>
  <c r="F254"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E110" i="2" s="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C58" i="2" s="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I409" i="1" s="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4" i="1"/>
  <c r="G645" i="1"/>
  <c r="G651" i="1"/>
  <c r="G653" i="1"/>
  <c r="H653" i="1"/>
  <c r="G654" i="1"/>
  <c r="H654" i="1"/>
  <c r="G655" i="1"/>
  <c r="H655" i="1"/>
  <c r="H656" i="1"/>
  <c r="J572" i="1"/>
  <c r="I170" i="1"/>
  <c r="G339" i="1"/>
  <c r="G353" i="1" s="1"/>
  <c r="J140" i="1"/>
  <c r="H140" i="1"/>
  <c r="G62" i="2" l="1"/>
  <c r="G63" i="2" s="1"/>
  <c r="G409" i="1"/>
  <c r="H646" i="1" s="1"/>
  <c r="L402" i="1"/>
  <c r="C139" i="2" s="1"/>
  <c r="J656" i="1"/>
  <c r="G646" i="1"/>
  <c r="J646" i="1" s="1"/>
  <c r="K353" i="1"/>
  <c r="A40" i="12"/>
  <c r="C110" i="2"/>
  <c r="C119" i="2"/>
  <c r="H477" i="1"/>
  <c r="H625" i="1" s="1"/>
  <c r="J652" i="1"/>
  <c r="C121" i="2"/>
  <c r="C120" i="2"/>
  <c r="J258" i="1"/>
  <c r="A31" i="12"/>
  <c r="F258" i="1"/>
  <c r="F272" i="1" s="1"/>
  <c r="L257" i="1"/>
  <c r="H663" i="1"/>
  <c r="D15" i="13"/>
  <c r="C15" i="13" s="1"/>
  <c r="C20" i="10"/>
  <c r="D6" i="13"/>
  <c r="C6" i="13" s="1"/>
  <c r="C11" i="10"/>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E145" i="2" s="1"/>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J619" i="1"/>
  <c r="G42" i="2"/>
  <c r="J51" i="1"/>
  <c r="G16" i="2"/>
  <c r="G18" i="2" s="1"/>
  <c r="J19" i="1"/>
  <c r="G622" i="1" s="1"/>
  <c r="F546" i="1"/>
  <c r="H435" i="1"/>
  <c r="J621" i="1"/>
  <c r="J620" i="1"/>
  <c r="D103" i="2"/>
  <c r="I140" i="1"/>
  <c r="A22" i="12"/>
  <c r="G50" i="2"/>
  <c r="J653" i="1"/>
  <c r="G572" i="1"/>
  <c r="I435" i="1"/>
  <c r="G435" i="1"/>
  <c r="I664" i="1"/>
  <c r="C141" i="2" l="1"/>
  <c r="C144" i="2" s="1"/>
  <c r="H649" i="1"/>
  <c r="E51" i="2"/>
  <c r="C81" i="2"/>
  <c r="F194" i="1"/>
  <c r="G628" i="1" s="1"/>
  <c r="J628" i="1" s="1"/>
  <c r="H661" i="1"/>
  <c r="H665" i="1" s="1"/>
  <c r="H66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C104" i="2" l="1"/>
  <c r="F673" i="1"/>
  <c r="C4" i="10" s="1"/>
  <c r="H673" i="1"/>
  <c r="C6"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<sst xmlns="http://schemas.openxmlformats.org/spreadsheetml/2006/main" count="5546" uniqueCount="1643">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</sst>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1286</v>
      </c>
      <c r="B2" s="21">
        <v>369</v>
      </c>
      <c r="C2" s="21">
        <v>369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1634515.91</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1630792.63</v>
      </c>
      <c r="K12" s="24" t="s">
        <v>288</v>
      </c>
      <c r="L12" s="24" t="s">
        <v>288</v>
      </c>
      <c r="M12" s="8"/>
      <c r="N12" s="266"/>
    </row>
    <row r="13" spans="1:14" s="3" customFormat="1" ht="12.2" customHeight="1" x14ac:dyDescent="0.15">
      <c r="A13" s="1" t="s">
        <v>604</v>
      </c>
      <c r="B13" s="2" t="s">
        <v>289</v>
      </c>
      <c r="C13" s="6">
        <v>5</v>
      </c>
      <c r="D13" s="2" t="s">
        <v>428</v>
      </c>
      <c r="E13" s="6">
        <v>140</v>
      </c>
      <c r="F13" s="18"/>
      <c r="G13" s="18">
        <v>14252.4</v>
      </c>
      <c r="H13" s="18">
        <v>171688.49</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23642.799999999999</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1634515.91</v>
      </c>
      <c r="G19" s="41">
        <f>SUM(G9:G18)</f>
        <v>37895.199999999997</v>
      </c>
      <c r="H19" s="41">
        <f>SUM(H9:H18)</f>
        <v>171688.49</v>
      </c>
      <c r="I19" s="41">
        <f>SUM(I9:I18)</f>
        <v>0</v>
      </c>
      <c r="J19" s="41">
        <f>SUM(J9:J18)</f>
        <v>1630792.63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222285</v>
      </c>
      <c r="G22" s="18">
        <v>37895.199999999997</v>
      </c>
      <c r="H22" s="18">
        <v>154224.23000000001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8680</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497976.81</v>
      </c>
      <c r="G30" s="18"/>
      <c r="H30" s="18">
        <v>17464.259999999998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728941.81</v>
      </c>
      <c r="G32" s="41">
        <f>SUM(G22:G31)</f>
        <v>37895.199999999997</v>
      </c>
      <c r="H32" s="41">
        <f>SUM(H22:H31)</f>
        <v>171688.49000000002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1630792.63</v>
      </c>
      <c r="K48" s="24" t="s">
        <v>288</v>
      </c>
      <c r="L48" s="24" t="s">
        <v>288</v>
      </c>
      <c r="M48" s="8"/>
      <c r="N48" s="266"/>
    </row>
    <row r="49" spans="1:14" s="3" customFormat="1" ht="12.2" customHeight="1" x14ac:dyDescent="0.15">
      <c r="A49" s="1" t="s">
        <v>859</v>
      </c>
      <c r="B49" s="2" t="s">
        <v>289</v>
      </c>
      <c r="C49" s="6">
        <v>34</v>
      </c>
      <c r="D49" s="2"/>
      <c r="E49" s="6">
        <v>753</v>
      </c>
      <c r="F49" s="18">
        <v>612909.1</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17665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905574.1</v>
      </c>
      <c r="G51" s="41">
        <f>SUM(G35:G50)</f>
        <v>0</v>
      </c>
      <c r="H51" s="41">
        <f>SUM(H35:H50)</f>
        <v>0</v>
      </c>
      <c r="I51" s="41">
        <f>SUM(I35:I50)</f>
        <v>0</v>
      </c>
      <c r="J51" s="41">
        <f>SUM(J35:J50)</f>
        <v>1630792.63</v>
      </c>
      <c r="K51" s="45" t="s">
        <v>288</v>
      </c>
      <c r="L51" s="45" t="s">
        <v>288</v>
      </c>
      <c r="N51" s="264"/>
    </row>
    <row r="52" spans="1:14" s="3" customFormat="1" ht="12.2" customHeight="1" thickTop="1" x14ac:dyDescent="0.15">
      <c r="A52" s="38" t="s">
        <v>455</v>
      </c>
      <c r="B52" s="39" t="s">
        <v>289</v>
      </c>
      <c r="C52" s="6">
        <v>37</v>
      </c>
      <c r="D52" s="39" t="s">
        <v>653</v>
      </c>
      <c r="E52" s="39"/>
      <c r="F52" s="41">
        <f>F51+F32</f>
        <v>1634515.9100000001</v>
      </c>
      <c r="G52" s="41">
        <f>G51+G32</f>
        <v>37895.199999999997</v>
      </c>
      <c r="H52" s="41">
        <f>H51+H32</f>
        <v>171688.49000000002</v>
      </c>
      <c r="I52" s="41">
        <f>I51+I32</f>
        <v>0</v>
      </c>
      <c r="J52" s="41">
        <f>J51+J32</f>
        <v>1630792.63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6457505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6457505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22648.639999999999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14244.78</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1336.51</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38229.93</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9715.16</v>
      </c>
      <c r="G96" s="18"/>
      <c r="H96" s="18"/>
      <c r="I96" s="18"/>
      <c r="J96" s="18">
        <v>55798.94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89582.84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v>1268799.54</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9715.16</v>
      </c>
      <c r="G111" s="41">
        <f>SUM(G96:G110)</f>
        <v>89582.84</v>
      </c>
      <c r="H111" s="41">
        <f>SUM(H96:H110)</f>
        <v>0</v>
      </c>
      <c r="I111" s="41">
        <f>SUM(I96:I110)</f>
        <v>0</v>
      </c>
      <c r="J111" s="41">
        <f>SUM(J96:J110)</f>
        <v>1324598.48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6505450.0899999999</v>
      </c>
      <c r="G112" s="41">
        <f>G60+G111</f>
        <v>89582.84</v>
      </c>
      <c r="H112" s="41">
        <f>H60+H79+H94+H111</f>
        <v>0</v>
      </c>
      <c r="I112" s="41">
        <f>I60+I111</f>
        <v>0</v>
      </c>
      <c r="J112" s="41">
        <f>J60+J111</f>
        <v>1324598.48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6535677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6535677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5870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201610.61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8560.7999999999993</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4932.84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3748.49</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219789.89999999997</v>
      </c>
      <c r="G136" s="41">
        <f>SUM(G123:G135)</f>
        <v>4932.84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6755466.9000000004</v>
      </c>
      <c r="G140" s="41">
        <f>G121+SUM(G136:G137)</f>
        <v>4932.84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107067.49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68049.38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72302.64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128887.28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115945.81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12781.71</v>
      </c>
      <c r="G161" s="18">
        <v>15815.92</v>
      </c>
      <c r="H161" s="18">
        <v>537.01</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128727.51999999999</v>
      </c>
      <c r="G163" s="41">
        <f>SUM(G150:G162)</f>
        <v>88118.56</v>
      </c>
      <c r="H163" s="41">
        <f>SUM(H150:H162)</f>
        <v>304541.16000000003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128727.51999999999</v>
      </c>
      <c r="G170" s="41">
        <f>G147+G163+SUM(G164:G169)</f>
        <v>88118.56</v>
      </c>
      <c r="H170" s="41">
        <f>H147+H163+SUM(H164:H169)</f>
        <v>304541.16000000003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37312.74</v>
      </c>
      <c r="H180" s="18"/>
      <c r="I180" s="18"/>
      <c r="J180" s="18">
        <v>75000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37312.74</v>
      </c>
      <c r="H184" s="41">
        <f>SUM(H180:H183)</f>
        <v>0</v>
      </c>
      <c r="I184" s="41">
        <f>SUM(I180:I183)</f>
        <v>0</v>
      </c>
      <c r="J184" s="41">
        <f>SUM(J180:J183)</f>
        <v>75000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37312.74</v>
      </c>
      <c r="H193" s="41">
        <f>+H184+SUM(H189:H192)</f>
        <v>0</v>
      </c>
      <c r="I193" s="41">
        <f>I178+I184+SUM(I189:I192)</f>
        <v>0</v>
      </c>
      <c r="J193" s="41">
        <f>J184</f>
        <v>75000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13389644.51</v>
      </c>
      <c r="G194" s="47">
        <f>G112+G140+G170+G193</f>
        <v>219946.97999999998</v>
      </c>
      <c r="H194" s="47">
        <f>H112+H140+H170+H193</f>
        <v>304541.16000000003</v>
      </c>
      <c r="I194" s="47">
        <f>I112+I140+I170+I193</f>
        <v>0</v>
      </c>
      <c r="J194" s="47">
        <f>J112+J140+J193</f>
        <v>1399598.48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1116069.1499999999</v>
      </c>
      <c r="G198" s="18">
        <v>615543.31000000006</v>
      </c>
      <c r="H198" s="18">
        <v>790.19</v>
      </c>
      <c r="I198" s="18">
        <v>42739.89</v>
      </c>
      <c r="J198" s="18">
        <v>4517.57</v>
      </c>
      <c r="K198" s="18">
        <v>82800.100000000006</v>
      </c>
      <c r="L198" s="19">
        <f>SUM(F198:K198)</f>
        <v>1862460.21</v>
      </c>
      <c r="M198" s="8"/>
      <c r="N198" s="266"/>
    </row>
    <row r="199" spans="1:14" s="3" customFormat="1" ht="12.2" customHeight="1" x14ac:dyDescent="0.15">
      <c r="A199" s="1" t="s">
        <v>439</v>
      </c>
      <c r="B199" s="2" t="s">
        <v>341</v>
      </c>
      <c r="C199" s="2" t="s">
        <v>291</v>
      </c>
      <c r="D199" s="2" t="s">
        <v>431</v>
      </c>
      <c r="E199" s="6">
        <v>1200</v>
      </c>
      <c r="F199" s="18">
        <v>669436.02</v>
      </c>
      <c r="G199" s="18">
        <v>211617.74</v>
      </c>
      <c r="H199" s="18">
        <v>285368.69</v>
      </c>
      <c r="I199" s="18">
        <v>4910.25</v>
      </c>
      <c r="J199" s="18">
        <v>386.91</v>
      </c>
      <c r="K199" s="18">
        <v>3094.93</v>
      </c>
      <c r="L199" s="19">
        <f>SUM(F199:K199)</f>
        <v>1174814.5399999998</v>
      </c>
      <c r="M199" s="8"/>
      <c r="N199" s="266"/>
    </row>
    <row r="200" spans="1:14" s="3" customFormat="1" ht="12.2" customHeight="1" x14ac:dyDescent="0.15">
      <c r="A200" s="1" t="s">
        <v>440</v>
      </c>
      <c r="B200" s="2" t="s">
        <v>341</v>
      </c>
      <c r="C200" s="2" t="s">
        <v>292</v>
      </c>
      <c r="D200" s="2" t="s">
        <v>431</v>
      </c>
      <c r="E200" s="6">
        <v>1300</v>
      </c>
      <c r="F200" s="18">
        <v>3878.96</v>
      </c>
      <c r="G200" s="18">
        <v>296.76</v>
      </c>
      <c r="H200" s="18"/>
      <c r="I200" s="18">
        <v>1324.65</v>
      </c>
      <c r="J200" s="18"/>
      <c r="K200" s="18"/>
      <c r="L200" s="19">
        <f>SUM(F200:K200)</f>
        <v>5500.3700000000008</v>
      </c>
      <c r="M200" s="8"/>
      <c r="N200" s="266"/>
    </row>
    <row r="201" spans="1:14" s="3" customFormat="1" ht="12.2" customHeight="1" x14ac:dyDescent="0.15">
      <c r="A201" s="1" t="s">
        <v>441</v>
      </c>
      <c r="B201" s="2" t="s">
        <v>341</v>
      </c>
      <c r="C201" s="2" t="s">
        <v>293</v>
      </c>
      <c r="D201" s="2" t="s">
        <v>431</v>
      </c>
      <c r="E201" s="6">
        <v>1400</v>
      </c>
      <c r="F201" s="18">
        <v>30868.48</v>
      </c>
      <c r="G201" s="18">
        <v>7204.27</v>
      </c>
      <c r="H201" s="18">
        <v>1654.75</v>
      </c>
      <c r="I201" s="18">
        <v>10189.540000000001</v>
      </c>
      <c r="J201" s="18"/>
      <c r="K201" s="18">
        <v>81</v>
      </c>
      <c r="L201" s="19">
        <f>SUM(F201:K201)</f>
        <v>49998.04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173325.72</v>
      </c>
      <c r="G203" s="18">
        <v>72644.86</v>
      </c>
      <c r="H203" s="18"/>
      <c r="I203" s="18">
        <v>5268.41</v>
      </c>
      <c r="J203" s="18">
        <v>1244.4000000000001</v>
      </c>
      <c r="K203" s="18">
        <v>50</v>
      </c>
      <c r="L203" s="19">
        <f t="shared" ref="L203:L209" si="0">SUM(F203:K203)</f>
        <v>252533.39</v>
      </c>
      <c r="M203" s="8"/>
      <c r="N203" s="266"/>
    </row>
    <row r="204" spans="1:14" s="3" customFormat="1" ht="12.2" customHeight="1" x14ac:dyDescent="0.15">
      <c r="A204" s="1" t="s">
        <v>443</v>
      </c>
      <c r="B204" s="2" t="s">
        <v>341</v>
      </c>
      <c r="C204" s="2" t="s">
        <v>295</v>
      </c>
      <c r="D204" s="2" t="s">
        <v>431</v>
      </c>
      <c r="E204" s="6">
        <v>2200</v>
      </c>
      <c r="F204" s="18">
        <v>232682.83</v>
      </c>
      <c r="G204" s="18">
        <v>101275.38</v>
      </c>
      <c r="H204" s="18">
        <v>42587.95</v>
      </c>
      <c r="I204" s="18">
        <v>29744.04</v>
      </c>
      <c r="J204" s="18">
        <v>235846.27</v>
      </c>
      <c r="K204" s="18">
        <v>565.38</v>
      </c>
      <c r="L204" s="19">
        <f t="shared" si="0"/>
        <v>642701.85</v>
      </c>
      <c r="M204" s="8"/>
      <c r="N204" s="266"/>
    </row>
    <row r="205" spans="1:14" s="3" customFormat="1" ht="12.2" customHeight="1" x14ac:dyDescent="0.15">
      <c r="A205" s="1" t="s">
        <v>444</v>
      </c>
      <c r="B205" s="2" t="s">
        <v>341</v>
      </c>
      <c r="C205" s="2" t="s">
        <v>296</v>
      </c>
      <c r="D205" s="2" t="s">
        <v>431</v>
      </c>
      <c r="E205" s="6">
        <v>2300</v>
      </c>
      <c r="F205" s="18">
        <v>134062.60999999999</v>
      </c>
      <c r="G205" s="18">
        <v>50954.06</v>
      </c>
      <c r="H205" s="18">
        <v>9435.34</v>
      </c>
      <c r="I205" s="18">
        <v>12174.93</v>
      </c>
      <c r="J205" s="18">
        <v>1206.1400000000001</v>
      </c>
      <c r="K205" s="18">
        <v>22684.41</v>
      </c>
      <c r="L205" s="19">
        <f t="shared" si="0"/>
        <v>230517.49</v>
      </c>
      <c r="M205" s="8"/>
      <c r="N205" s="266"/>
    </row>
    <row r="206" spans="1:14" s="3" customFormat="1" ht="12.2" customHeight="1" x14ac:dyDescent="0.15">
      <c r="A206" s="1" t="s">
        <v>445</v>
      </c>
      <c r="B206" s="2" t="s">
        <v>341</v>
      </c>
      <c r="C206" s="2" t="s">
        <v>297</v>
      </c>
      <c r="D206" s="2" t="s">
        <v>431</v>
      </c>
      <c r="E206" s="6">
        <v>2400</v>
      </c>
      <c r="F206" s="18">
        <v>170830.36</v>
      </c>
      <c r="G206" s="18">
        <v>57948.08</v>
      </c>
      <c r="H206" s="18">
        <v>9675.68</v>
      </c>
      <c r="I206" s="18">
        <v>1776.45</v>
      </c>
      <c r="J206" s="18"/>
      <c r="K206" s="18"/>
      <c r="L206" s="19">
        <f t="shared" si="0"/>
        <v>240230.57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115661.92</v>
      </c>
      <c r="G208" s="18">
        <v>57352.57</v>
      </c>
      <c r="H208" s="18">
        <v>117733.87</v>
      </c>
      <c r="I208" s="18">
        <v>141532.01</v>
      </c>
      <c r="J208" s="18"/>
      <c r="K208" s="18"/>
      <c r="L208" s="19">
        <f t="shared" si="0"/>
        <v>432280.37</v>
      </c>
      <c r="M208" s="8"/>
      <c r="N208" s="266"/>
    </row>
    <row r="209" spans="1:14" s="3" customFormat="1" ht="12.2" customHeight="1" x14ac:dyDescent="0.15">
      <c r="A209" s="1" t="s">
        <v>448</v>
      </c>
      <c r="B209" s="2" t="s">
        <v>341</v>
      </c>
      <c r="C209" s="2" t="s">
        <v>300</v>
      </c>
      <c r="D209" s="2" t="s">
        <v>431</v>
      </c>
      <c r="E209" s="6">
        <v>2700</v>
      </c>
      <c r="F209" s="18"/>
      <c r="G209" s="18"/>
      <c r="H209" s="18">
        <v>242856.77</v>
      </c>
      <c r="I209" s="18">
        <v>247.97</v>
      </c>
      <c r="J209" s="18"/>
      <c r="K209" s="18"/>
      <c r="L209" s="19">
        <f t="shared" si="0"/>
        <v>243104.74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2646816.0499999993</v>
      </c>
      <c r="G212" s="41">
        <f t="shared" si="1"/>
        <v>1174837.0300000003</v>
      </c>
      <c r="H212" s="41">
        <f t="shared" si="1"/>
        <v>710103.24</v>
      </c>
      <c r="I212" s="41">
        <f t="shared" si="1"/>
        <v>249908.13999999998</v>
      </c>
      <c r="J212" s="41">
        <f t="shared" si="1"/>
        <v>243201.29</v>
      </c>
      <c r="K212" s="41">
        <f t="shared" si="1"/>
        <v>109275.82</v>
      </c>
      <c r="L212" s="41">
        <f t="shared" si="1"/>
        <v>5134141.5700000012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826214.74</v>
      </c>
      <c r="G216" s="18">
        <v>336140.11</v>
      </c>
      <c r="H216" s="18">
        <v>25843.11</v>
      </c>
      <c r="I216" s="18">
        <v>50475.54</v>
      </c>
      <c r="J216" s="18">
        <v>10722.29</v>
      </c>
      <c r="K216" s="18"/>
      <c r="L216" s="19">
        <f>SUM(F216:K216)</f>
        <v>1249395.7900000003</v>
      </c>
      <c r="M216" s="8"/>
      <c r="N216" s="266"/>
    </row>
    <row r="217" spans="1:14" s="3" customFormat="1" ht="12.2" customHeight="1" x14ac:dyDescent="0.15">
      <c r="A217" s="1" t="s">
        <v>439</v>
      </c>
      <c r="B217" s="2" t="s">
        <v>346</v>
      </c>
      <c r="C217" s="2" t="s">
        <v>291</v>
      </c>
      <c r="D217" s="2" t="s">
        <v>431</v>
      </c>
      <c r="E217" s="6">
        <v>1200</v>
      </c>
      <c r="F217" s="18">
        <v>425547.17</v>
      </c>
      <c r="G217" s="18">
        <v>125890.25</v>
      </c>
      <c r="H217" s="18">
        <v>60333.61</v>
      </c>
      <c r="I217" s="18">
        <v>3346.05</v>
      </c>
      <c r="J217" s="18">
        <v>37.54</v>
      </c>
      <c r="K217" s="18">
        <v>92.8</v>
      </c>
      <c r="L217" s="19">
        <f>SUM(F217:K217)</f>
        <v>615247.42000000004</v>
      </c>
      <c r="M217" s="8"/>
      <c r="N217" s="266"/>
    </row>
    <row r="218" spans="1:14" s="3" customFormat="1" ht="12.2" customHeight="1" x14ac:dyDescent="0.15">
      <c r="A218" s="1" t="s">
        <v>440</v>
      </c>
      <c r="B218" s="2" t="s">
        <v>346</v>
      </c>
      <c r="C218" s="2" t="s">
        <v>292</v>
      </c>
      <c r="D218" s="2" t="s">
        <v>431</v>
      </c>
      <c r="E218" s="6">
        <v>1300</v>
      </c>
      <c r="F218" s="18">
        <v>3419</v>
      </c>
      <c r="G218" s="18">
        <v>261.56</v>
      </c>
      <c r="H218" s="18"/>
      <c r="I218" s="18">
        <v>2460.13</v>
      </c>
      <c r="J218" s="18"/>
      <c r="K218" s="18"/>
      <c r="L218" s="19">
        <f>SUM(F218:K218)</f>
        <v>6140.6900000000005</v>
      </c>
      <c r="M218" s="8"/>
      <c r="N218" s="266"/>
    </row>
    <row r="219" spans="1:14" s="3" customFormat="1" ht="12.2" customHeight="1" x14ac:dyDescent="0.15">
      <c r="A219" s="1" t="s">
        <v>441</v>
      </c>
      <c r="B219" s="2" t="s">
        <v>346</v>
      </c>
      <c r="C219" s="2" t="s">
        <v>293</v>
      </c>
      <c r="D219" s="2" t="s">
        <v>431</v>
      </c>
      <c r="E219" s="6">
        <v>1400</v>
      </c>
      <c r="F219" s="18">
        <v>33450.31</v>
      </c>
      <c r="G219" s="18">
        <v>5916.12</v>
      </c>
      <c r="H219" s="18">
        <v>5619</v>
      </c>
      <c r="I219" s="18">
        <v>11608.45</v>
      </c>
      <c r="J219" s="18"/>
      <c r="K219" s="18">
        <v>1765.5</v>
      </c>
      <c r="L219" s="19">
        <f>SUM(F219:K219)</f>
        <v>58359.380000000005</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109222.03</v>
      </c>
      <c r="G221" s="18">
        <v>51859.76</v>
      </c>
      <c r="H221" s="18"/>
      <c r="I221" s="18">
        <v>585.47</v>
      </c>
      <c r="J221" s="18">
        <v>1216.79</v>
      </c>
      <c r="K221" s="18"/>
      <c r="L221" s="19">
        <f t="shared" ref="L221:L227" si="2">SUM(F221:K221)</f>
        <v>162884.05000000002</v>
      </c>
      <c r="M221" s="8"/>
      <c r="N221" s="266"/>
    </row>
    <row r="222" spans="1:14" s="3" customFormat="1" ht="12.2" customHeight="1" x14ac:dyDescent="0.15">
      <c r="A222" s="1" t="s">
        <v>443</v>
      </c>
      <c r="B222" s="2" t="s">
        <v>346</v>
      </c>
      <c r="C222" s="2" t="s">
        <v>295</v>
      </c>
      <c r="D222" s="2" t="s">
        <v>431</v>
      </c>
      <c r="E222" s="6">
        <v>2200</v>
      </c>
      <c r="F222" s="18">
        <v>149808.46</v>
      </c>
      <c r="G222" s="18">
        <v>68296.55</v>
      </c>
      <c r="H222" s="18">
        <v>19665.599999999999</v>
      </c>
      <c r="I222" s="18">
        <v>22893.1</v>
      </c>
      <c r="J222" s="18">
        <v>19015.93</v>
      </c>
      <c r="K222" s="18">
        <v>1772.12</v>
      </c>
      <c r="L222" s="19">
        <f t="shared" si="2"/>
        <v>281451.76</v>
      </c>
      <c r="M222" s="8"/>
      <c r="N222" s="266"/>
    </row>
    <row r="223" spans="1:14" s="3" customFormat="1" ht="12.2" customHeight="1" x14ac:dyDescent="0.15">
      <c r="A223" s="1" t="s">
        <v>444</v>
      </c>
      <c r="B223" s="2" t="s">
        <v>346</v>
      </c>
      <c r="C223" s="2" t="s">
        <v>296</v>
      </c>
      <c r="D223" s="2" t="s">
        <v>431</v>
      </c>
      <c r="E223" s="6">
        <v>2300</v>
      </c>
      <c r="F223" s="18">
        <v>117812.49</v>
      </c>
      <c r="G223" s="18">
        <v>44778.62</v>
      </c>
      <c r="H223" s="18">
        <v>7639.18</v>
      </c>
      <c r="I223" s="18">
        <v>9253.75</v>
      </c>
      <c r="J223" s="18">
        <v>982.39</v>
      </c>
      <c r="K223" s="18">
        <v>3659.5</v>
      </c>
      <c r="L223" s="19">
        <f t="shared" si="2"/>
        <v>184125.93000000002</v>
      </c>
      <c r="M223" s="8"/>
      <c r="N223" s="266"/>
    </row>
    <row r="224" spans="1:14" s="3" customFormat="1" ht="12.2" customHeight="1" x14ac:dyDescent="0.15">
      <c r="A224" s="1" t="s">
        <v>445</v>
      </c>
      <c r="B224" s="2" t="s">
        <v>346</v>
      </c>
      <c r="C224" s="2" t="s">
        <v>297</v>
      </c>
      <c r="D224" s="2" t="s">
        <v>431</v>
      </c>
      <c r="E224" s="6">
        <v>2400</v>
      </c>
      <c r="F224" s="18">
        <v>138787.22</v>
      </c>
      <c r="G224" s="18">
        <v>57820.02</v>
      </c>
      <c r="H224" s="18">
        <v>14335.75</v>
      </c>
      <c r="I224" s="18">
        <v>941.86</v>
      </c>
      <c r="J224" s="18"/>
      <c r="K224" s="18"/>
      <c r="L224" s="19">
        <f t="shared" si="2"/>
        <v>211884.84999999998</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v>97007.64</v>
      </c>
      <c r="G226" s="18">
        <v>49990.89</v>
      </c>
      <c r="H226" s="18">
        <v>76491.66</v>
      </c>
      <c r="I226" s="18">
        <v>102986.88</v>
      </c>
      <c r="J226" s="18">
        <v>22</v>
      </c>
      <c r="K226" s="18"/>
      <c r="L226" s="19">
        <f t="shared" si="2"/>
        <v>326499.07</v>
      </c>
      <c r="M226" s="8"/>
      <c r="N226" s="266"/>
    </row>
    <row r="227" spans="1:14" s="3" customFormat="1" ht="12.2" customHeight="1" x14ac:dyDescent="0.15">
      <c r="A227" s="1" t="s">
        <v>448</v>
      </c>
      <c r="B227" s="2" t="s">
        <v>346</v>
      </c>
      <c r="C227" s="2" t="s">
        <v>300</v>
      </c>
      <c r="D227" s="2" t="s">
        <v>431</v>
      </c>
      <c r="E227" s="6">
        <v>2700</v>
      </c>
      <c r="F227" s="18"/>
      <c r="G227" s="18"/>
      <c r="H227" s="18">
        <v>141191.35</v>
      </c>
      <c r="I227" s="18">
        <v>222.65</v>
      </c>
      <c r="J227" s="18"/>
      <c r="K227" s="18"/>
      <c r="L227" s="19">
        <f t="shared" si="2"/>
        <v>141414</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1901269.0599999998</v>
      </c>
      <c r="G230" s="41">
        <f>SUM(G216:G229)</f>
        <v>740953.88</v>
      </c>
      <c r="H230" s="41">
        <f>SUM(H216:H229)</f>
        <v>351119.26</v>
      </c>
      <c r="I230" s="41">
        <f>SUM(I216:I229)</f>
        <v>204773.87999999998</v>
      </c>
      <c r="J230" s="41">
        <f>SUM(J216:J229)</f>
        <v>31996.940000000002</v>
      </c>
      <c r="K230" s="41">
        <f t="shared" si="3"/>
        <v>7289.92</v>
      </c>
      <c r="L230" s="41">
        <f t="shared" si="3"/>
        <v>3237402.9400000004</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1269426.8500000001</v>
      </c>
      <c r="G234" s="18">
        <v>518982.62</v>
      </c>
      <c r="H234" s="18">
        <v>2185.85</v>
      </c>
      <c r="I234" s="18">
        <v>43169.45</v>
      </c>
      <c r="J234" s="18">
        <v>27981.54</v>
      </c>
      <c r="K234" s="18"/>
      <c r="L234" s="19">
        <f>SUM(F234:K234)</f>
        <v>1861746.3100000003</v>
      </c>
      <c r="M234" s="8"/>
      <c r="N234" s="266"/>
    </row>
    <row r="235" spans="1:14" s="3" customFormat="1" ht="12.2" customHeight="1" x14ac:dyDescent="0.15">
      <c r="A235" s="1" t="s">
        <v>439</v>
      </c>
      <c r="B235" s="2" t="s">
        <v>350</v>
      </c>
      <c r="C235" s="2" t="s">
        <v>291</v>
      </c>
      <c r="D235" s="2" t="s">
        <v>431</v>
      </c>
      <c r="E235" s="6">
        <v>1200</v>
      </c>
      <c r="F235" s="18">
        <v>440291.72</v>
      </c>
      <c r="G235" s="18">
        <v>175707.69</v>
      </c>
      <c r="H235" s="18">
        <v>312649.42</v>
      </c>
      <c r="I235" s="18">
        <v>2195.46</v>
      </c>
      <c r="J235" s="18">
        <v>209.83</v>
      </c>
      <c r="K235" s="18">
        <v>92.8</v>
      </c>
      <c r="L235" s="19">
        <f>SUM(F235:K235)</f>
        <v>931146.91999999981</v>
      </c>
      <c r="M235" s="8"/>
      <c r="N235" s="266"/>
    </row>
    <row r="236" spans="1:14" s="3" customFormat="1" ht="12.2" customHeight="1" x14ac:dyDescent="0.15">
      <c r="A236" s="1" t="s">
        <v>440</v>
      </c>
      <c r="B236" s="2" t="s">
        <v>350</v>
      </c>
      <c r="C236" s="2" t="s">
        <v>292</v>
      </c>
      <c r="D236" s="2" t="s">
        <v>431</v>
      </c>
      <c r="E236" s="6">
        <v>1300</v>
      </c>
      <c r="F236" s="18">
        <v>3437.63</v>
      </c>
      <c r="G236" s="18">
        <v>262.95999999999998</v>
      </c>
      <c r="H236" s="18">
        <v>24456.32</v>
      </c>
      <c r="I236" s="18">
        <v>335.77</v>
      </c>
      <c r="J236" s="18"/>
      <c r="K236" s="18"/>
      <c r="L236" s="19">
        <f>SUM(F236:K236)</f>
        <v>28492.68</v>
      </c>
      <c r="M236" s="8"/>
      <c r="N236" s="266"/>
    </row>
    <row r="237" spans="1:14" s="3" customFormat="1" ht="12.2" customHeight="1" x14ac:dyDescent="0.15">
      <c r="A237" s="1" t="s">
        <v>441</v>
      </c>
      <c r="B237" s="2" t="s">
        <v>350</v>
      </c>
      <c r="C237" s="2" t="s">
        <v>293</v>
      </c>
      <c r="D237" s="2" t="s">
        <v>431</v>
      </c>
      <c r="E237" s="6">
        <v>1400</v>
      </c>
      <c r="F237" s="18">
        <v>83938.15</v>
      </c>
      <c r="G237" s="18">
        <v>13826</v>
      </c>
      <c r="H237" s="18">
        <v>11802</v>
      </c>
      <c r="I237" s="18">
        <v>46385.05</v>
      </c>
      <c r="J237" s="18"/>
      <c r="K237" s="18">
        <v>12745.75</v>
      </c>
      <c r="L237" s="19">
        <f>SUM(F237:K237)</f>
        <v>168696.95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153665.09</v>
      </c>
      <c r="G239" s="18">
        <v>61735.44</v>
      </c>
      <c r="H239" s="18"/>
      <c r="I239" s="18">
        <v>2487.0300000000002</v>
      </c>
      <c r="J239" s="18"/>
      <c r="K239" s="18">
        <v>129</v>
      </c>
      <c r="L239" s="19">
        <f t="shared" ref="L239:L245" si="4">SUM(F239:K239)</f>
        <v>218016.56</v>
      </c>
      <c r="M239" s="8"/>
      <c r="N239" s="266"/>
    </row>
    <row r="240" spans="1:14" s="3" customFormat="1" ht="12.2" customHeight="1" x14ac:dyDescent="0.15">
      <c r="A240" s="1" t="s">
        <v>443</v>
      </c>
      <c r="B240" s="2" t="s">
        <v>350</v>
      </c>
      <c r="C240" s="2" t="s">
        <v>295</v>
      </c>
      <c r="D240" s="2" t="s">
        <v>431</v>
      </c>
      <c r="E240" s="6">
        <v>2200</v>
      </c>
      <c r="F240" s="18">
        <v>184573.71</v>
      </c>
      <c r="G240" s="18">
        <v>83721.3</v>
      </c>
      <c r="H240" s="18">
        <v>28757.69</v>
      </c>
      <c r="I240" s="18">
        <v>30522.39</v>
      </c>
      <c r="J240" s="18">
        <v>35953.07</v>
      </c>
      <c r="K240" s="18">
        <v>5423.12</v>
      </c>
      <c r="L240" s="19">
        <f t="shared" si="4"/>
        <v>368951.28</v>
      </c>
      <c r="M240" s="8"/>
      <c r="N240" s="266"/>
    </row>
    <row r="241" spans="1:14" s="3" customFormat="1" ht="12.2" customHeight="1" x14ac:dyDescent="0.15">
      <c r="A241" s="1" t="s">
        <v>444</v>
      </c>
      <c r="B241" s="2" t="s">
        <v>350</v>
      </c>
      <c r="C241" s="2" t="s">
        <v>296</v>
      </c>
      <c r="D241" s="2" t="s">
        <v>431</v>
      </c>
      <c r="E241" s="6">
        <v>2300</v>
      </c>
      <c r="F241" s="18">
        <v>118201.7</v>
      </c>
      <c r="G241" s="18">
        <v>44893.47</v>
      </c>
      <c r="H241" s="18">
        <v>8013.9</v>
      </c>
      <c r="I241" s="18">
        <v>10526.05</v>
      </c>
      <c r="J241" s="18">
        <v>1986.4</v>
      </c>
      <c r="K241" s="18">
        <v>3934.5</v>
      </c>
      <c r="L241" s="19">
        <f t="shared" si="4"/>
        <v>187556.01999999996</v>
      </c>
      <c r="M241" s="8"/>
      <c r="N241" s="266"/>
    </row>
    <row r="242" spans="1:14" s="3" customFormat="1" ht="12.2" customHeight="1" x14ac:dyDescent="0.15">
      <c r="A242" s="1" t="s">
        <v>445</v>
      </c>
      <c r="B242" s="2" t="s">
        <v>350</v>
      </c>
      <c r="C242" s="2" t="s">
        <v>297</v>
      </c>
      <c r="D242" s="2" t="s">
        <v>431</v>
      </c>
      <c r="E242" s="6">
        <v>2400</v>
      </c>
      <c r="F242" s="18">
        <v>159880.95000000001</v>
      </c>
      <c r="G242" s="18">
        <v>62643.19</v>
      </c>
      <c r="H242" s="18">
        <v>15695.36</v>
      </c>
      <c r="I242" s="18">
        <v>1222.8699999999999</v>
      </c>
      <c r="J242" s="18"/>
      <c r="K242" s="18">
        <v>10002.23</v>
      </c>
      <c r="L242" s="19">
        <f t="shared" si="4"/>
        <v>249444.6</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136489.44</v>
      </c>
      <c r="G244" s="18">
        <v>21234.59</v>
      </c>
      <c r="H244" s="18">
        <v>99639.52</v>
      </c>
      <c r="I244" s="18">
        <v>113193.22</v>
      </c>
      <c r="J244" s="18"/>
      <c r="K244" s="18"/>
      <c r="L244" s="19">
        <f t="shared" si="4"/>
        <v>370556.77</v>
      </c>
      <c r="M244" s="8"/>
      <c r="N244" s="266"/>
    </row>
    <row r="245" spans="1:14" s="3" customFormat="1" ht="12.2" customHeight="1" x14ac:dyDescent="0.15">
      <c r="A245" s="1" t="s">
        <v>448</v>
      </c>
      <c r="B245" s="2" t="s">
        <v>350</v>
      </c>
      <c r="C245" s="2" t="s">
        <v>300</v>
      </c>
      <c r="D245" s="2" t="s">
        <v>431</v>
      </c>
      <c r="E245" s="6">
        <v>2700</v>
      </c>
      <c r="F245" s="18"/>
      <c r="G245" s="18"/>
      <c r="H245" s="18">
        <v>243163.68</v>
      </c>
      <c r="I245" s="18">
        <v>223.26</v>
      </c>
      <c r="J245" s="18"/>
      <c r="K245" s="18"/>
      <c r="L245" s="19">
        <f t="shared" si="4"/>
        <v>243386.94</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2549905.2400000002</v>
      </c>
      <c r="G248" s="41">
        <f t="shared" si="5"/>
        <v>983007.25999999989</v>
      </c>
      <c r="H248" s="41">
        <f t="shared" si="5"/>
        <v>746363.74</v>
      </c>
      <c r="I248" s="41">
        <f t="shared" si="5"/>
        <v>250260.55</v>
      </c>
      <c r="J248" s="41">
        <f t="shared" si="5"/>
        <v>66130.84</v>
      </c>
      <c r="K248" s="41">
        <f t="shared" si="5"/>
        <v>32327.399999999998</v>
      </c>
      <c r="L248" s="41">
        <f t="shared" si="5"/>
        <v>4627995.03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f>13072.23+13608.2</f>
        <v>26680.43</v>
      </c>
      <c r="G254" s="18">
        <f>1000.16+1040.89</f>
        <v>2041.0500000000002</v>
      </c>
      <c r="H254" s="18">
        <f>250+300</f>
        <v>550</v>
      </c>
      <c r="I254" s="18">
        <f>1258.97+1279.68</f>
        <v>2538.65</v>
      </c>
      <c r="J254" s="18">
        <f>1448+3024</f>
        <v>4472</v>
      </c>
      <c r="K254" s="18"/>
      <c r="L254" s="19">
        <f t="shared" si="6"/>
        <v>36282.130000000005</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26680.43</v>
      </c>
      <c r="G257" s="41">
        <f t="shared" si="7"/>
        <v>2041.0500000000002</v>
      </c>
      <c r="H257" s="41">
        <f t="shared" si="7"/>
        <v>550</v>
      </c>
      <c r="I257" s="41">
        <f t="shared" si="7"/>
        <v>2538.65</v>
      </c>
      <c r="J257" s="41">
        <f t="shared" si="7"/>
        <v>4472</v>
      </c>
      <c r="K257" s="41">
        <f t="shared" si="7"/>
        <v>0</v>
      </c>
      <c r="L257" s="41">
        <f>SUM(F257:K257)</f>
        <v>36282.130000000005</v>
      </c>
      <c r="M257" s="8"/>
      <c r="N257" s="266"/>
    </row>
    <row r="258" spans="1:14" s="3" customFormat="1" ht="12.2" customHeight="1" thickTop="1" x14ac:dyDescent="0.15">
      <c r="A258" s="38" t="s">
        <v>462</v>
      </c>
      <c r="B258" s="40">
        <v>10</v>
      </c>
      <c r="C258" s="40">
        <v>8</v>
      </c>
      <c r="D258" s="39" t="s">
        <v>431</v>
      </c>
      <c r="E258" s="40"/>
      <c r="F258" s="41">
        <f t="shared" ref="F258:L258" si="8">F212+F230+F248+F257</f>
        <v>7124670.7799999993</v>
      </c>
      <c r="G258" s="41">
        <f t="shared" si="8"/>
        <v>2900839.2199999997</v>
      </c>
      <c r="H258" s="41">
        <f t="shared" si="8"/>
        <v>1808136.24</v>
      </c>
      <c r="I258" s="41">
        <f t="shared" si="8"/>
        <v>707481.22</v>
      </c>
      <c r="J258" s="41">
        <f t="shared" si="8"/>
        <v>345801.06999999995</v>
      </c>
      <c r="K258" s="41">
        <f t="shared" si="8"/>
        <v>148893.14000000001</v>
      </c>
      <c r="L258" s="41">
        <f t="shared" si="8"/>
        <v>13035821.670000004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37312.74</v>
      </c>
      <c r="L264" s="19">
        <f>SUM(F264:K264)</f>
        <v>37312.74</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112312.73999999999</v>
      </c>
      <c r="L271" s="41">
        <f t="shared" si="9"/>
        <v>112312.73999999999</v>
      </c>
      <c r="M271" s="8"/>
      <c r="N271" s="266"/>
    </row>
    <row r="272" spans="1:14" s="34" customFormat="1" ht="12.2" customHeight="1" thickTop="1" x14ac:dyDescent="0.2">
      <c r="A272" s="43" t="s">
        <v>464</v>
      </c>
      <c r="B272" s="40">
        <v>10</v>
      </c>
      <c r="C272" s="40">
        <v>18</v>
      </c>
      <c r="D272" s="39" t="s">
        <v>431</v>
      </c>
      <c r="E272" s="40"/>
      <c r="F272" s="42">
        <f t="shared" ref="F272:L272" si="11">F258+F271</f>
        <v>7124670.7799999993</v>
      </c>
      <c r="G272" s="42">
        <f t="shared" si="11"/>
        <v>2900839.2199999997</v>
      </c>
      <c r="H272" s="42">
        <f t="shared" si="11"/>
        <v>1808136.24</v>
      </c>
      <c r="I272" s="42">
        <f t="shared" si="11"/>
        <v>707481.22</v>
      </c>
      <c r="J272" s="42">
        <f t="shared" si="11"/>
        <v>345801.06999999995</v>
      </c>
      <c r="K272" s="42">
        <f t="shared" si="11"/>
        <v>261205.88</v>
      </c>
      <c r="L272" s="42">
        <f t="shared" si="11"/>
        <v>13148134.410000004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90085.97</v>
      </c>
      <c r="G277" s="18">
        <v>21026.55</v>
      </c>
      <c r="H277" s="18">
        <v>53878.39</v>
      </c>
      <c r="I277" s="18">
        <v>9953.8700000000008</v>
      </c>
      <c r="J277" s="18">
        <v>709.1</v>
      </c>
      <c r="K277" s="18"/>
      <c r="L277" s="19">
        <f>SUM(F277:K277)</f>
        <v>175653.88</v>
      </c>
      <c r="M277" s="8"/>
      <c r="N277" s="266"/>
    </row>
    <row r="278" spans="1:14" s="3" customFormat="1" ht="12.2" customHeight="1" x14ac:dyDescent="0.15">
      <c r="A278" s="1" t="s">
        <v>439</v>
      </c>
      <c r="B278" s="2" t="s">
        <v>357</v>
      </c>
      <c r="C278" s="2" t="s">
        <v>291</v>
      </c>
      <c r="D278" s="2" t="s">
        <v>431</v>
      </c>
      <c r="E278" s="6">
        <v>1200</v>
      </c>
      <c r="F278" s="18">
        <v>4234.1499999999996</v>
      </c>
      <c r="G278" s="18"/>
      <c r="H278" s="18">
        <v>124653.13</v>
      </c>
      <c r="I278" s="18"/>
      <c r="J278" s="18"/>
      <c r="K278" s="18"/>
      <c r="L278" s="19">
        <f>SUM(F278:K278)</f>
        <v>128887.28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94320.12</v>
      </c>
      <c r="G291" s="42">
        <f t="shared" si="13"/>
        <v>21026.55</v>
      </c>
      <c r="H291" s="42">
        <f t="shared" si="13"/>
        <v>178531.52000000002</v>
      </c>
      <c r="I291" s="42">
        <f t="shared" si="13"/>
        <v>9953.8700000000008</v>
      </c>
      <c r="J291" s="42">
        <f t="shared" si="13"/>
        <v>709.1</v>
      </c>
      <c r="K291" s="42">
        <f t="shared" si="13"/>
        <v>0</v>
      </c>
      <c r="L291" s="41">
        <f t="shared" si="13"/>
        <v>304541.16000000003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94320.12</v>
      </c>
      <c r="G339" s="41">
        <f t="shared" si="20"/>
        <v>21026.55</v>
      </c>
      <c r="H339" s="41">
        <f t="shared" si="20"/>
        <v>178531.52000000002</v>
      </c>
      <c r="I339" s="41">
        <f t="shared" si="20"/>
        <v>9953.8700000000008</v>
      </c>
      <c r="J339" s="41">
        <f t="shared" si="20"/>
        <v>709.1</v>
      </c>
      <c r="K339" s="41">
        <f t="shared" si="20"/>
        <v>0</v>
      </c>
      <c r="L339" s="41">
        <f t="shared" si="20"/>
        <v>304541.16000000003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94320.12</v>
      </c>
      <c r="G353" s="41">
        <f>G339</f>
        <v>21026.55</v>
      </c>
      <c r="H353" s="41">
        <f>H339</f>
        <v>178531.52000000002</v>
      </c>
      <c r="I353" s="41">
        <f>I339</f>
        <v>9953.8700000000008</v>
      </c>
      <c r="J353" s="41">
        <f>J339</f>
        <v>709.1</v>
      </c>
      <c r="K353" s="47">
        <f>K339+K352</f>
        <v>0</v>
      </c>
      <c r="L353" s="41">
        <f>L339+L352</f>
        <v>304541.16000000003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85779.32</v>
      </c>
      <c r="I359" s="18"/>
      <c r="J359" s="18"/>
      <c r="K359" s="18"/>
      <c r="L359" s="13">
        <f>SUM(F359:K359)</f>
        <v>85779.32</v>
      </c>
      <c r="M359" s="8"/>
      <c r="N359" s="266"/>
    </row>
    <row r="360" spans="1:22" s="3" customFormat="1" ht="12.2" customHeight="1" x14ac:dyDescent="0.15">
      <c r="A360" s="1" t="s">
        <v>542</v>
      </c>
      <c r="B360" s="2" t="s">
        <v>366</v>
      </c>
      <c r="C360" s="6">
        <v>2</v>
      </c>
      <c r="D360" s="2" t="s">
        <v>431</v>
      </c>
      <c r="E360" s="6"/>
      <c r="F360" s="18"/>
      <c r="G360" s="18"/>
      <c r="H360" s="18">
        <v>59385.68</v>
      </c>
      <c r="I360" s="18"/>
      <c r="J360" s="18"/>
      <c r="K360" s="18"/>
      <c r="L360" s="19">
        <f>SUM(F360:K360)</f>
        <v>59385.68</v>
      </c>
      <c r="M360" s="8"/>
      <c r="N360" s="266"/>
    </row>
    <row r="361" spans="1:22" s="3" customFormat="1" ht="12.2" customHeight="1" x14ac:dyDescent="0.15">
      <c r="A361" s="3" t="s">
        <v>543</v>
      </c>
      <c r="B361" s="2" t="s">
        <v>366</v>
      </c>
      <c r="C361" s="6">
        <v>3</v>
      </c>
      <c r="D361" s="2" t="s">
        <v>431</v>
      </c>
      <c r="E361" s="6"/>
      <c r="F361" s="18"/>
      <c r="G361" s="18"/>
      <c r="H361" s="18">
        <v>74781.98</v>
      </c>
      <c r="I361" s="18"/>
      <c r="J361" s="18"/>
      <c r="K361" s="18"/>
      <c r="L361" s="19">
        <f>SUM(F361:K361)</f>
        <v>74781.98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219946.97999999998</v>
      </c>
      <c r="I363" s="47">
        <f t="shared" si="22"/>
        <v>0</v>
      </c>
      <c r="J363" s="47">
        <f t="shared" si="22"/>
        <v>0</v>
      </c>
      <c r="K363" s="47">
        <f t="shared" si="22"/>
        <v>0</v>
      </c>
      <c r="L363" s="47">
        <f t="shared" si="22"/>
        <v>219946.97999999998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v>1874.47</v>
      </c>
      <c r="I396" s="18">
        <v>1268799.54</v>
      </c>
      <c r="J396" s="24" t="s">
        <v>288</v>
      </c>
      <c r="K396" s="24" t="s">
        <v>288</v>
      </c>
      <c r="L396" s="56">
        <f t="shared" ref="L396:L401" si="26">SUM(F396:K396)</f>
        <v>1270674.01</v>
      </c>
      <c r="M396" s="8"/>
      <c r="N396" s="266"/>
    </row>
    <row r="397" spans="1:14" s="3" customFormat="1" ht="12.2" customHeight="1" x14ac:dyDescent="0.15">
      <c r="A397" s="79" t="s">
        <v>557</v>
      </c>
      <c r="B397" s="2" t="s">
        <v>381</v>
      </c>
      <c r="C397" s="6">
        <v>9</v>
      </c>
      <c r="D397" s="2" t="s">
        <v>432</v>
      </c>
      <c r="E397" s="6"/>
      <c r="F397" s="18"/>
      <c r="G397" s="18">
        <v>75000</v>
      </c>
      <c r="H397" s="18">
        <v>30595.02</v>
      </c>
      <c r="I397" s="18"/>
      <c r="J397" s="24" t="s">
        <v>288</v>
      </c>
      <c r="K397" s="24" t="s">
        <v>288</v>
      </c>
      <c r="L397" s="56">
        <f t="shared" si="26"/>
        <v>105595.02</v>
      </c>
      <c r="M397" s="8"/>
      <c r="N397" s="266"/>
    </row>
    <row r="398" spans="1:14" s="3" customFormat="1" ht="12.2" customHeight="1" x14ac:dyDescent="0.15">
      <c r="A398" s="79" t="s">
        <v>515</v>
      </c>
      <c r="B398" s="2" t="s">
        <v>381</v>
      </c>
      <c r="C398" s="6">
        <v>10</v>
      </c>
      <c r="D398" s="2" t="s">
        <v>432</v>
      </c>
      <c r="E398" s="6"/>
      <c r="F398" s="18"/>
      <c r="G398" s="18"/>
      <c r="H398" s="18">
        <v>22460.31</v>
      </c>
      <c r="I398" s="18"/>
      <c r="J398" s="24" t="s">
        <v>288</v>
      </c>
      <c r="K398" s="24" t="s">
        <v>288</v>
      </c>
      <c r="L398" s="56">
        <f t="shared" si="26"/>
        <v>22460.31</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869.14</v>
      </c>
      <c r="I401" s="18"/>
      <c r="J401" s="24" t="s">
        <v>288</v>
      </c>
      <c r="K401" s="24" t="s">
        <v>288</v>
      </c>
      <c r="L401" s="56">
        <f t="shared" si="26"/>
        <v>869.14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55798.94</v>
      </c>
      <c r="I402" s="47">
        <f>SUM(I396:I401)</f>
        <v>1268799.54</v>
      </c>
      <c r="J402" s="45" t="s">
        <v>288</v>
      </c>
      <c r="K402" s="45" t="s">
        <v>288</v>
      </c>
      <c r="L402" s="47">
        <f>SUM(L396:L401)</f>
        <v>1399598.48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75000</v>
      </c>
      <c r="H409" s="47">
        <f>H394+H402+H408</f>
        <v>55798.94</v>
      </c>
      <c r="I409" s="47">
        <f>I394+I402+I408</f>
        <v>1268799.54</v>
      </c>
      <c r="J409" s="24" t="s">
        <v>288</v>
      </c>
      <c r="K409" s="24" t="s">
        <v>288</v>
      </c>
      <c r="L409" s="47">
        <f>L394+L402+L408</f>
        <v>1399598.48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v>1641166.51</v>
      </c>
      <c r="H422" s="18"/>
      <c r="I422" s="18"/>
      <c r="J422" s="18"/>
      <c r="K422" s="18"/>
      <c r="L422" s="56">
        <f t="shared" ref="L422:L427" si="29">SUM(F422:K422)</f>
        <v>1641166.51</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v>1302.8399999999999</v>
      </c>
      <c r="J427" s="18"/>
      <c r="K427" s="18"/>
      <c r="L427" s="56">
        <f t="shared" si="29"/>
        <v>1302.8399999999999</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1641166.51</v>
      </c>
      <c r="H428" s="47">
        <f t="shared" si="30"/>
        <v>0</v>
      </c>
      <c r="I428" s="47">
        <f t="shared" si="30"/>
        <v>1302.8399999999999</v>
      </c>
      <c r="J428" s="47">
        <f t="shared" si="30"/>
        <v>0</v>
      </c>
      <c r="K428" s="47">
        <f t="shared" si="30"/>
        <v>0</v>
      </c>
      <c r="L428" s="47">
        <f t="shared" si="30"/>
        <v>1642469.35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1641166.51</v>
      </c>
      <c r="H435" s="47">
        <f t="shared" si="32"/>
        <v>0</v>
      </c>
      <c r="I435" s="47">
        <f t="shared" si="32"/>
        <v>1302.8399999999999</v>
      </c>
      <c r="J435" s="47">
        <f t="shared" si="32"/>
        <v>0</v>
      </c>
      <c r="K435" s="47">
        <f t="shared" si="32"/>
        <v>0</v>
      </c>
      <c r="L435" s="47">
        <f t="shared" si="32"/>
        <v>1642469.35</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1630792.63</v>
      </c>
      <c r="H442" s="18"/>
      <c r="I442" s="56">
        <f t="shared" si="33"/>
        <v>1630792.63</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1630792.63</v>
      </c>
      <c r="H447" s="13">
        <f>SUM(H440:H446)</f>
        <v>0</v>
      </c>
      <c r="I447" s="13">
        <f>SUM(I440:I446)</f>
        <v>1630792.63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1630792.63</v>
      </c>
      <c r="H460" s="18"/>
      <c r="I460" s="56">
        <f t="shared" si="34"/>
        <v>1630792.63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1630792.63</v>
      </c>
      <c r="H461" s="83">
        <f>SUM(H455:H460)</f>
        <v>0</v>
      </c>
      <c r="I461" s="83">
        <f>SUM(I455:I460)</f>
        <v>1630792.63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1630792.63</v>
      </c>
      <c r="H462" s="42">
        <f>H453+H461</f>
        <v>0</v>
      </c>
      <c r="I462" s="42">
        <f>I453+I461</f>
        <v>1630792.63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664064</v>
      </c>
      <c r="G466" s="18"/>
      <c r="H466" s="18"/>
      <c r="I466" s="18"/>
      <c r="J466" s="18">
        <v>1873663.5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13389644.51</v>
      </c>
      <c r="G469" s="18">
        <v>219946.98</v>
      </c>
      <c r="H469" s="18">
        <v>304541.15999999997</v>
      </c>
      <c r="I469" s="18"/>
      <c r="J469" s="18">
        <v>1399598.48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13389644.51</v>
      </c>
      <c r="G471" s="53">
        <f>SUM(G469:G470)</f>
        <v>219946.98</v>
      </c>
      <c r="H471" s="53">
        <f>SUM(H469:H470)</f>
        <v>304541.15999999997</v>
      </c>
      <c r="I471" s="53">
        <f>SUM(I469:I470)</f>
        <v>0</v>
      </c>
      <c r="J471" s="53">
        <f>SUM(J469:J470)</f>
        <v>1399598.48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13148134.41</v>
      </c>
      <c r="G473" s="18">
        <v>219946.98</v>
      </c>
      <c r="H473" s="18">
        <v>304541.15999999997</v>
      </c>
      <c r="I473" s="18"/>
      <c r="J473" s="18">
        <v>1642469.35</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t="s">
        <v>1642</v>
      </c>
      <c r="K474" s="24" t="s">
        <v>288</v>
      </c>
      <c r="L474" s="24" t="s">
        <v>288</v>
      </c>
      <c r="N474" s="265"/>
    </row>
    <row r="475" spans="1:14" s="52" customFormat="1" ht="12.2" customHeight="1" x14ac:dyDescent="0.2">
      <c r="A475" s="92" t="s">
        <v>426</v>
      </c>
      <c r="B475" s="75">
        <v>19</v>
      </c>
      <c r="C475" s="80">
        <v>7</v>
      </c>
      <c r="D475" s="2" t="s">
        <v>432</v>
      </c>
      <c r="E475" s="80"/>
      <c r="F475" s="53">
        <f>SUM(F473:F474)</f>
        <v>13148134.41</v>
      </c>
      <c r="G475" s="53">
        <f>SUM(G473:G474)</f>
        <v>219946.98</v>
      </c>
      <c r="H475" s="53">
        <f>SUM(H473:H474)</f>
        <v>304541.15999999997</v>
      </c>
      <c r="I475" s="53">
        <f>SUM(I473:I474)</f>
        <v>0</v>
      </c>
      <c r="J475" s="53">
        <f>SUM(J473:J474)</f>
        <v>1642469.35</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905574.09999999963</v>
      </c>
      <c r="G477" s="53">
        <f>(G466+G471)- G475</f>
        <v>0</v>
      </c>
      <c r="H477" s="53">
        <f>(H466+H471)- H475</f>
        <v>0</v>
      </c>
      <c r="I477" s="53">
        <f>(I466+I471)- I475</f>
        <v>0</v>
      </c>
      <c r="J477" s="53">
        <f>(J466+J471)- J475</f>
        <v>1630792.63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614722.06000000006</v>
      </c>
      <c r="G522" s="18">
        <v>186629.07</v>
      </c>
      <c r="H522" s="18">
        <v>285368.69</v>
      </c>
      <c r="I522" s="18">
        <v>4910.25</v>
      </c>
      <c r="J522" s="18">
        <v>386.91</v>
      </c>
      <c r="K522" s="18">
        <v>3094.93</v>
      </c>
      <c r="L522" s="88">
        <f>SUM(F522:K522)</f>
        <v>1095111.9099999999</v>
      </c>
      <c r="N522" s="265"/>
    </row>
    <row r="523" spans="1:14" s="52" customFormat="1" ht="12.2" customHeight="1" x14ac:dyDescent="0.2">
      <c r="A523" s="22" t="s">
        <v>634</v>
      </c>
      <c r="B523" s="105">
        <v>21</v>
      </c>
      <c r="C523" s="115">
        <v>2</v>
      </c>
      <c r="D523" s="2" t="s">
        <v>432</v>
      </c>
      <c r="E523" s="115"/>
      <c r="F523" s="18">
        <v>384736.94</v>
      </c>
      <c r="G523" s="18">
        <v>108590.41</v>
      </c>
      <c r="H523" s="18">
        <v>60333.61</v>
      </c>
      <c r="I523" s="18">
        <v>3346.05</v>
      </c>
      <c r="J523" s="18">
        <v>37.54</v>
      </c>
      <c r="K523" s="18">
        <v>92.8</v>
      </c>
      <c r="L523" s="88">
        <f>SUM(F523:K523)</f>
        <v>557137.35000000009</v>
      </c>
      <c r="N523" s="265"/>
    </row>
    <row r="524" spans="1:14" s="52" customFormat="1" ht="12.2" customHeight="1" thickBot="1" x14ac:dyDescent="0.25">
      <c r="A524" s="22" t="s">
        <v>635</v>
      </c>
      <c r="B524" s="105">
        <v>21</v>
      </c>
      <c r="C524" s="115">
        <v>3</v>
      </c>
      <c r="D524" s="2" t="s">
        <v>432</v>
      </c>
      <c r="E524" s="115"/>
      <c r="F524" s="18">
        <v>388901.06</v>
      </c>
      <c r="G524" s="18">
        <v>153922.70000000001</v>
      </c>
      <c r="H524" s="18">
        <v>312649.42</v>
      </c>
      <c r="I524" s="18">
        <v>2195.46</v>
      </c>
      <c r="J524" s="18">
        <v>209.83</v>
      </c>
      <c r="K524" s="18">
        <v>92.8</v>
      </c>
      <c r="L524" s="88">
        <f>SUM(F524:K524)</f>
        <v>857971.2699999999</v>
      </c>
      <c r="N524" s="265"/>
    </row>
    <row r="525" spans="1:14" s="52" customFormat="1" ht="12.2" customHeight="1" thickTop="1" x14ac:dyDescent="0.2">
      <c r="A525" s="139" t="s">
        <v>63</v>
      </c>
      <c r="B525" s="107">
        <v>21</v>
      </c>
      <c r="C525" s="195">
        <v>4</v>
      </c>
      <c r="D525" s="196" t="s">
        <v>432</v>
      </c>
      <c r="E525" s="195"/>
      <c r="F525" s="108">
        <f>SUM(F522:F524)</f>
        <v>1388360.06</v>
      </c>
      <c r="G525" s="108">
        <f t="shared" ref="G525:L525" si="36">SUM(G522:G524)</f>
        <v>449142.18</v>
      </c>
      <c r="H525" s="108">
        <f t="shared" si="36"/>
        <v>658351.72</v>
      </c>
      <c r="I525" s="108">
        <f t="shared" si="36"/>
        <v>10451.759999999998</v>
      </c>
      <c r="J525" s="108">
        <f t="shared" si="36"/>
        <v>634.28000000000009</v>
      </c>
      <c r="K525" s="108">
        <f t="shared" si="36"/>
        <v>3280.53</v>
      </c>
      <c r="L525" s="89">
        <f t="shared" si="36"/>
        <v>2510220.5299999998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4234.1499999999996</v>
      </c>
      <c r="G527" s="18"/>
      <c r="H527" s="18">
        <v>124653.13</v>
      </c>
      <c r="I527" s="18"/>
      <c r="J527" s="18"/>
      <c r="K527" s="18"/>
      <c r="L527" s="88">
        <f>SUM(F527:K527)</f>
        <v>128887.28</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4234.1499999999996</v>
      </c>
      <c r="G530" s="89">
        <f t="shared" ref="G530:L530" si="37">SUM(G527:G529)</f>
        <v>0</v>
      </c>
      <c r="H530" s="89">
        <f t="shared" si="37"/>
        <v>124653.13</v>
      </c>
      <c r="I530" s="89">
        <f t="shared" si="37"/>
        <v>0</v>
      </c>
      <c r="J530" s="89">
        <f t="shared" si="37"/>
        <v>0</v>
      </c>
      <c r="K530" s="89">
        <f t="shared" si="37"/>
        <v>0</v>
      </c>
      <c r="L530" s="89">
        <f t="shared" si="37"/>
        <v>128887.28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58948.11</v>
      </c>
      <c r="G532" s="18">
        <v>24988.67</v>
      </c>
      <c r="H532" s="18"/>
      <c r="I532" s="18"/>
      <c r="J532" s="18"/>
      <c r="K532" s="18"/>
      <c r="L532" s="88">
        <f>SUM(F532:K532)</f>
        <v>83936.78</v>
      </c>
      <c r="M532" s="8"/>
      <c r="N532" s="266"/>
    </row>
    <row r="533" spans="1:14" s="3" customFormat="1" ht="12.2" customHeight="1" x14ac:dyDescent="0.15">
      <c r="A533" s="22" t="s">
        <v>634</v>
      </c>
      <c r="B533" s="105">
        <v>21</v>
      </c>
      <c r="C533" s="105">
        <v>10</v>
      </c>
      <c r="D533" s="2" t="s">
        <v>432</v>
      </c>
      <c r="E533" s="105"/>
      <c r="F533" s="18">
        <v>40810.230000000003</v>
      </c>
      <c r="G533" s="18">
        <v>17299.84</v>
      </c>
      <c r="H533" s="18"/>
      <c r="I533" s="18"/>
      <c r="J533" s="18"/>
      <c r="K533" s="18"/>
      <c r="L533" s="88">
        <f>SUM(F533:K533)</f>
        <v>58110.070000000007</v>
      </c>
      <c r="M533" s="8"/>
      <c r="N533" s="266"/>
    </row>
    <row r="534" spans="1:14" s="3" customFormat="1" ht="12.2" customHeight="1" thickBot="1" x14ac:dyDescent="0.2">
      <c r="A534" s="22" t="s">
        <v>635</v>
      </c>
      <c r="B534" s="105">
        <v>21</v>
      </c>
      <c r="C534" s="105">
        <v>11</v>
      </c>
      <c r="D534" s="2" t="s">
        <v>432</v>
      </c>
      <c r="E534" s="105"/>
      <c r="F534" s="18">
        <v>51390.66</v>
      </c>
      <c r="G534" s="18">
        <v>21784.99</v>
      </c>
      <c r="H534" s="18"/>
      <c r="I534" s="18"/>
      <c r="J534" s="18"/>
      <c r="K534" s="18"/>
      <c r="L534" s="88">
        <f>SUM(F534:K534)</f>
        <v>73175.650000000009</v>
      </c>
      <c r="M534" s="8"/>
      <c r="N534" s="266"/>
    </row>
    <row r="535" spans="1:14" s="3" customFormat="1" ht="12.2" customHeight="1" thickTop="1" x14ac:dyDescent="0.15">
      <c r="A535" s="139" t="s">
        <v>67</v>
      </c>
      <c r="B535" s="107">
        <v>21</v>
      </c>
      <c r="C535" s="107">
        <v>12</v>
      </c>
      <c r="D535" s="158" t="s">
        <v>432</v>
      </c>
      <c r="E535" s="107"/>
      <c r="F535" s="89">
        <f>SUM(F532:F534)</f>
        <v>151149</v>
      </c>
      <c r="G535" s="89">
        <f t="shared" ref="G535:L535" si="38">SUM(G532:G534)</f>
        <v>64073.5</v>
      </c>
      <c r="H535" s="89">
        <f t="shared" si="38"/>
        <v>0</v>
      </c>
      <c r="I535" s="89">
        <f t="shared" si="38"/>
        <v>0</v>
      </c>
      <c r="J535" s="89">
        <f t="shared" si="38"/>
        <v>0</v>
      </c>
      <c r="K535" s="89">
        <f t="shared" si="38"/>
        <v>0</v>
      </c>
      <c r="L535" s="89">
        <f t="shared" si="38"/>
        <v>215222.5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90905.600000000006</v>
      </c>
      <c r="I542" s="18"/>
      <c r="J542" s="18"/>
      <c r="K542" s="18"/>
      <c r="L542" s="88">
        <f>SUM(F542:K542)</f>
        <v>90905.600000000006</v>
      </c>
      <c r="M542" s="8"/>
      <c r="N542" s="266"/>
    </row>
    <row r="543" spans="1:14" s="3" customFormat="1" ht="12.2" customHeight="1" x14ac:dyDescent="0.15">
      <c r="A543" s="22" t="s">
        <v>634</v>
      </c>
      <c r="B543" s="105">
        <v>21</v>
      </c>
      <c r="C543" s="105">
        <v>18</v>
      </c>
      <c r="D543" s="2" t="s">
        <v>432</v>
      </c>
      <c r="E543" s="105"/>
      <c r="F543" s="18"/>
      <c r="G543" s="18"/>
      <c r="H543" s="18">
        <v>665</v>
      </c>
      <c r="I543" s="18"/>
      <c r="J543" s="18"/>
      <c r="K543" s="18"/>
      <c r="L543" s="88">
        <f>SUM(F543:K543)</f>
        <v>665</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91570.6</v>
      </c>
      <c r="I545" s="193">
        <f t="shared" si="40"/>
        <v>0</v>
      </c>
      <c r="J545" s="193">
        <f t="shared" si="40"/>
        <v>0</v>
      </c>
      <c r="K545" s="193">
        <f t="shared" si="40"/>
        <v>0</v>
      </c>
      <c r="L545" s="193">
        <f t="shared" si="40"/>
        <v>91570.6</v>
      </c>
      <c r="M545" s="8"/>
      <c r="N545" s="266"/>
    </row>
    <row r="546" spans="1:14" s="3" customFormat="1" ht="12.2" customHeight="1" thickTop="1" x14ac:dyDescent="0.15">
      <c r="A546" s="98" t="s">
        <v>72</v>
      </c>
      <c r="B546" s="107">
        <v>21</v>
      </c>
      <c r="C546" s="107">
        <v>21</v>
      </c>
      <c r="D546" s="158" t="s">
        <v>432</v>
      </c>
      <c r="E546" s="107"/>
      <c r="F546" s="89">
        <f>F525+F530+F535+F540+F545</f>
        <v>1543743.21</v>
      </c>
      <c r="G546" s="89">
        <f t="shared" ref="G546:L546" si="41">G525+G530+G535+G540+G545</f>
        <v>513215.68</v>
      </c>
      <c r="H546" s="89">
        <f t="shared" si="41"/>
        <v>874575.45</v>
      </c>
      <c r="I546" s="89">
        <f t="shared" si="41"/>
        <v>10451.759999999998</v>
      </c>
      <c r="J546" s="89">
        <f t="shared" si="41"/>
        <v>634.28000000000009</v>
      </c>
      <c r="K546" s="89">
        <f t="shared" si="41"/>
        <v>3280.53</v>
      </c>
      <c r="L546" s="89">
        <f t="shared" si="41"/>
        <v>2945900.9099999997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1095111.9099999999</v>
      </c>
      <c r="G550" s="87">
        <f>L527</f>
        <v>128887.28</v>
      </c>
      <c r="H550" s="87">
        <f>L532</f>
        <v>83936.78</v>
      </c>
      <c r="I550" s="87">
        <f>L537</f>
        <v>0</v>
      </c>
      <c r="J550" s="87">
        <f>L542</f>
        <v>90905.600000000006</v>
      </c>
      <c r="K550" s="87">
        <f>SUM(F550:J550)</f>
        <v>1398841.57</v>
      </c>
      <c r="L550" s="24" t="s">
        <v>288</v>
      </c>
      <c r="M550" s="8"/>
      <c r="N550" s="266"/>
    </row>
    <row r="551" spans="1:14" s="3" customFormat="1" ht="12.2" customHeight="1" x14ac:dyDescent="0.15">
      <c r="A551" s="22" t="s">
        <v>634</v>
      </c>
      <c r="B551" s="75">
        <v>21</v>
      </c>
      <c r="C551" s="75">
        <v>23</v>
      </c>
      <c r="D551" s="2" t="s">
        <v>432</v>
      </c>
      <c r="E551" s="75"/>
      <c r="F551" s="87">
        <f>L523</f>
        <v>557137.35000000009</v>
      </c>
      <c r="G551" s="87">
        <f>L528</f>
        <v>0</v>
      </c>
      <c r="H551" s="87">
        <f>L533</f>
        <v>58110.070000000007</v>
      </c>
      <c r="I551" s="87">
        <f>L538</f>
        <v>0</v>
      </c>
      <c r="J551" s="87">
        <f>L543</f>
        <v>665</v>
      </c>
      <c r="K551" s="87">
        <f>SUM(F551:J551)</f>
        <v>615912.42000000016</v>
      </c>
      <c r="L551" s="24" t="s">
        <v>288</v>
      </c>
      <c r="M551" s="8"/>
      <c r="N551" s="266"/>
    </row>
    <row r="552" spans="1:14" s="3" customFormat="1" ht="12.2" customHeight="1" thickBot="1" x14ac:dyDescent="0.2">
      <c r="A552" s="22" t="s">
        <v>635</v>
      </c>
      <c r="B552" s="75">
        <v>21</v>
      </c>
      <c r="C552" s="75">
        <v>24</v>
      </c>
      <c r="D552" s="2" t="s">
        <v>432</v>
      </c>
      <c r="E552" s="75"/>
      <c r="F552" s="87">
        <f>L524</f>
        <v>857971.2699999999</v>
      </c>
      <c r="G552" s="87">
        <f>L529</f>
        <v>0</v>
      </c>
      <c r="H552" s="87">
        <f>L534</f>
        <v>73175.650000000009</v>
      </c>
      <c r="I552" s="87">
        <f>L539</f>
        <v>0</v>
      </c>
      <c r="J552" s="87">
        <f>L544</f>
        <v>0</v>
      </c>
      <c r="K552" s="87">
        <f>SUM(F552:J552)</f>
        <v>931146.91999999993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2510220.5299999998</v>
      </c>
      <c r="G553" s="89">
        <f t="shared" si="42"/>
        <v>128887.28</v>
      </c>
      <c r="H553" s="89">
        <f t="shared" si="42"/>
        <v>215222.5</v>
      </c>
      <c r="I553" s="89">
        <f t="shared" si="42"/>
        <v>0</v>
      </c>
      <c r="J553" s="89">
        <f t="shared" si="42"/>
        <v>91570.6</v>
      </c>
      <c r="K553" s="89">
        <f t="shared" si="42"/>
        <v>2945900.91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36079.81</v>
      </c>
      <c r="G563" s="18">
        <v>13275.21</v>
      </c>
      <c r="H563" s="18"/>
      <c r="I563" s="18">
        <v>24.4</v>
      </c>
      <c r="J563" s="18"/>
      <c r="K563" s="18"/>
      <c r="L563" s="88">
        <f>SUM(F563:K563)</f>
        <v>49379.42</v>
      </c>
      <c r="M563" s="8"/>
      <c r="N563" s="266"/>
    </row>
    <row r="564" spans="1:14" s="3" customFormat="1" ht="12.2" customHeight="1" x14ac:dyDescent="0.15">
      <c r="A564" s="22" t="s">
        <v>634</v>
      </c>
      <c r="B564" s="105">
        <v>22</v>
      </c>
      <c r="C564" s="115">
        <v>6</v>
      </c>
      <c r="D564" s="2" t="s">
        <v>432</v>
      </c>
      <c r="E564" s="115"/>
      <c r="F564" s="18">
        <v>81953.2</v>
      </c>
      <c r="G564" s="18">
        <v>22753.35</v>
      </c>
      <c r="H564" s="18">
        <v>990</v>
      </c>
      <c r="I564" s="18">
        <v>35.479999999999997</v>
      </c>
      <c r="J564" s="18"/>
      <c r="K564" s="18"/>
      <c r="L564" s="88">
        <f>SUM(F564:K564)</f>
        <v>105732.02999999998</v>
      </c>
      <c r="M564" s="8"/>
      <c r="N564" s="266"/>
    </row>
    <row r="565" spans="1:14" s="3" customFormat="1" ht="12.2" customHeight="1" thickBot="1" x14ac:dyDescent="0.2">
      <c r="A565" s="22" t="s">
        <v>635</v>
      </c>
      <c r="B565" s="105">
        <v>22</v>
      </c>
      <c r="C565" s="118">
        <v>7</v>
      </c>
      <c r="D565" s="2" t="s">
        <v>432</v>
      </c>
      <c r="E565" s="118"/>
      <c r="F565" s="18">
        <v>27348.880000000001</v>
      </c>
      <c r="G565" s="18">
        <v>10672.89</v>
      </c>
      <c r="H565" s="18"/>
      <c r="I565" s="18"/>
      <c r="J565" s="18"/>
      <c r="K565" s="18"/>
      <c r="L565" s="88">
        <f>SUM(F565:K565)</f>
        <v>38021.770000000004</v>
      </c>
      <c r="M565" s="8"/>
      <c r="N565" s="266"/>
    </row>
    <row r="566" spans="1:14" s="3" customFormat="1" ht="12.2" customHeight="1" thickTop="1" x14ac:dyDescent="0.15">
      <c r="A566" s="139" t="s">
        <v>65</v>
      </c>
      <c r="B566" s="107">
        <v>22</v>
      </c>
      <c r="C566" s="107">
        <v>8</v>
      </c>
      <c r="D566" s="196" t="s">
        <v>432</v>
      </c>
      <c r="E566" s="107"/>
      <c r="F566" s="89">
        <f t="shared" ref="F566:L566" si="44">SUM(F563:F565)</f>
        <v>145381.88999999998</v>
      </c>
      <c r="G566" s="89">
        <f t="shared" si="44"/>
        <v>46701.45</v>
      </c>
      <c r="H566" s="89">
        <f t="shared" si="44"/>
        <v>990</v>
      </c>
      <c r="I566" s="89">
        <f t="shared" si="44"/>
        <v>59.879999999999995</v>
      </c>
      <c r="J566" s="89">
        <f t="shared" si="44"/>
        <v>0</v>
      </c>
      <c r="K566" s="89">
        <f t="shared" si="44"/>
        <v>0</v>
      </c>
      <c r="L566" s="89">
        <f t="shared" si="44"/>
        <v>193133.21999999997</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145381.88999999998</v>
      </c>
      <c r="G572" s="89">
        <f t="shared" ref="G572:L572" si="46">G561+G566+G571</f>
        <v>46701.45</v>
      </c>
      <c r="H572" s="89">
        <f t="shared" si="46"/>
        <v>990</v>
      </c>
      <c r="I572" s="89">
        <f t="shared" si="46"/>
        <v>59.879999999999995</v>
      </c>
      <c r="J572" s="89">
        <f t="shared" si="46"/>
        <v>0</v>
      </c>
      <c r="K572" s="89">
        <f t="shared" si="46"/>
        <v>0</v>
      </c>
      <c r="L572" s="89">
        <f t="shared" si="46"/>
        <v>193133.21999999997</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33618.050000000003</v>
      </c>
      <c r="G583" s="18"/>
      <c r="H583" s="18">
        <v>205083.81</v>
      </c>
      <c r="I583" s="87">
        <f t="shared" si="47"/>
        <v>238701.86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24456.32</v>
      </c>
      <c r="I585" s="87">
        <f t="shared" si="47"/>
        <v>24456.32</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143204.35999999999</v>
      </c>
      <c r="I592" s="18">
        <v>127295.03999999999</v>
      </c>
      <c r="J592" s="18">
        <v>127295.63</v>
      </c>
      <c r="K592" s="104">
        <f t="shared" ref="K592:K598" si="48">SUM(H592:J592)</f>
        <v>397795.02999999997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90905.600000000006</v>
      </c>
      <c r="I593" s="18">
        <v>665</v>
      </c>
      <c r="J593" s="18"/>
      <c r="K593" s="104">
        <f t="shared" si="48"/>
        <v>91570.6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72243.88</v>
      </c>
      <c r="K594" s="104">
        <f t="shared" si="48"/>
        <v>72243.88</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6362.77</v>
      </c>
      <c r="J595" s="18">
        <v>36715.86</v>
      </c>
      <c r="K595" s="104">
        <f t="shared" si="48"/>
        <v>43078.630000000005</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8994.7800000000007</v>
      </c>
      <c r="I596" s="18">
        <v>7091.19</v>
      </c>
      <c r="J596" s="18">
        <v>7131.57</v>
      </c>
      <c r="K596" s="104">
        <f t="shared" si="48"/>
        <v>23217.54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243104.74</v>
      </c>
      <c r="I599" s="108">
        <f>SUM(I592:I598)</f>
        <v>141414</v>
      </c>
      <c r="J599" s="108">
        <f>SUM(J592:J598)</f>
        <v>243386.94</v>
      </c>
      <c r="K599" s="108">
        <f>SUM(K592:K598)</f>
        <v>627905.68000000005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243214.59</v>
      </c>
      <c r="I605" s="18">
        <v>35716.74</v>
      </c>
      <c r="J605" s="18">
        <v>67578.84</v>
      </c>
      <c r="K605" s="104">
        <f>SUM(H605:J605)</f>
        <v>346510.17000000004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243214.59</v>
      </c>
      <c r="I606" s="108">
        <f>SUM(I603:I605)</f>
        <v>35716.74</v>
      </c>
      <c r="J606" s="108">
        <f>SUM(J603:J605)</f>
        <v>67578.84</v>
      </c>
      <c r="K606" s="108">
        <f>SUM(K603:K605)</f>
        <v>346510.17000000004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33148.199999999997</v>
      </c>
      <c r="G612" s="18"/>
      <c r="H612" s="18"/>
      <c r="I612" s="18"/>
      <c r="J612" s="18"/>
      <c r="K612" s="18"/>
      <c r="L612" s="88">
        <f>SUM(F612:K612)</f>
        <v>33148.199999999997</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33148.199999999997</v>
      </c>
      <c r="G615" s="108">
        <f t="shared" si="49"/>
        <v>0</v>
      </c>
      <c r="H615" s="108">
        <f t="shared" si="49"/>
        <v>0</v>
      </c>
      <c r="I615" s="108">
        <f t="shared" si="49"/>
        <v>0</v>
      </c>
      <c r="J615" s="108">
        <f t="shared" si="49"/>
        <v>0</v>
      </c>
      <c r="K615" s="108">
        <f t="shared" si="49"/>
        <v>0</v>
      </c>
      <c r="L615" s="89">
        <f t="shared" si="49"/>
        <v>33148.199999999997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1634515.91</v>
      </c>
      <c r="H618" s="109">
        <f>SUM(F52)</f>
        <v>1634515.9100000001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37895.199999999997</v>
      </c>
      <c r="H619" s="109">
        <f>SUM(G52)</f>
        <v>37895.199999999997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171688.49</v>
      </c>
      <c r="H620" s="109">
        <f>SUM(H52)</f>
        <v>171688.49000000002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1630792.63</v>
      </c>
      <c r="H622" s="109">
        <f>SUM(J52)</f>
        <v>1630792.63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905574.1</v>
      </c>
      <c r="H623" s="109">
        <f>F477</f>
        <v>905574.09999999963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1630792.63</v>
      </c>
      <c r="H627" s="109">
        <f>J477</f>
        <v>1630792.63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13389644.51</v>
      </c>
      <c r="H628" s="104">
        <f>SUM(F469)</f>
        <v>13389644.51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219946.97999999998</v>
      </c>
      <c r="H629" s="104">
        <f>SUM(G469)</f>
        <v>219946.98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304541.16000000003</v>
      </c>
      <c r="H630" s="104">
        <f>SUM(H469)</f>
        <v>304541.15999999997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1399598.48</v>
      </c>
      <c r="H632" s="104">
        <f>SUM(J469)</f>
        <v>1399598.48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13148134.410000004</v>
      </c>
      <c r="H633" s="104">
        <f>SUM(F473)</f>
        <v>13148134.41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304541.16000000003</v>
      </c>
      <c r="H634" s="104">
        <f>SUM(H473)</f>
        <v>304541.15999999997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219946.97999999998</v>
      </c>
      <c r="H636" s="104">
        <f>SUM(G473)</f>
        <v>219946.98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1399598.48</v>
      </c>
      <c r="H638" s="164">
        <f>SUM(J469)</f>
        <v>1399598.48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1642469.35</v>
      </c>
      <c r="H639" s="164">
        <f>SUM(J473)</f>
        <v>1642469.35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1630792.63</v>
      </c>
      <c r="H641" s="104">
        <f>SUM(G462)</f>
        <v>1630792.63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1630792.63</v>
      </c>
      <c r="H643" s="104">
        <f>SUM(I462)</f>
        <v>1630792.63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55798.94</v>
      </c>
      <c r="H645" s="104">
        <f>H409</f>
        <v>55798.94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1399598.48</v>
      </c>
      <c r="H647" s="104">
        <f>L409</f>
        <v>1399598.48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627905.68000000005</v>
      </c>
      <c r="H648" s="104">
        <f>L209+L227+L245</f>
        <v>627905.67999999993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346510.17000000004</v>
      </c>
      <c r="H649" s="104">
        <f>(J258+J339)-(J256+J337)</f>
        <v>346510.16999999993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243104.74</v>
      </c>
      <c r="H650" s="104">
        <f>H599</f>
        <v>243104.74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141414</v>
      </c>
      <c r="H651" s="104">
        <f>I599</f>
        <v>141414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243386.94</v>
      </c>
      <c r="H652" s="104">
        <f>J599</f>
        <v>243386.94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37312.74</v>
      </c>
      <c r="H653" s="104">
        <f>K264+K346</f>
        <v>37312.74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5524462.0500000017</v>
      </c>
      <c r="G661" s="19">
        <f>(L230+L310+L360)</f>
        <v>3296788.6200000006</v>
      </c>
      <c r="H661" s="19">
        <f>(L248+L329+L361)</f>
        <v>4702777.0100000007</v>
      </c>
      <c r="I661" s="19">
        <f>SUM(F661:H661)</f>
        <v>13524027.680000003</v>
      </c>
      <c r="J661" s="13"/>
      <c r="K661" s="13"/>
      <c r="L661" s="13"/>
      <c r="M661" s="9"/>
    </row>
    <row r="662" spans="1:13" s="3" customFormat="1" ht="12.2" customHeight="1" x14ac:dyDescent="0.2">
      <c r="A662" s="1" t="s">
        <v>127</v>
      </c>
      <c r="F662" s="19">
        <f>(L359/IF(SUM(L359:L361)=0,1,SUM(L359:L361))*(SUM(G97:G110)))</f>
        <v>34937.306703955663</v>
      </c>
      <c r="G662" s="19">
        <f>(L360/IF(SUM(L359:L361)=0,1,SUM(L359:L361))*(SUM(G97:G110)))</f>
        <v>24187.36492645273</v>
      </c>
      <c r="H662" s="19">
        <f>(L361/IF(SUM(L359:L361)=0,1,SUM(L359:L361))*(SUM(G97:G110)))</f>
        <v>30458.168369591614</v>
      </c>
      <c r="I662" s="19">
        <f>SUM(F662:H662)</f>
        <v>89582.840000000011</v>
      </c>
      <c r="J662"/>
      <c r="K662" s="13"/>
      <c r="L662" s="13"/>
      <c r="M662" s="8"/>
    </row>
    <row r="663" spans="1:13" s="3" customFormat="1" ht="12.2" customHeight="1" x14ac:dyDescent="0.2">
      <c r="A663" s="1" t="s">
        <v>128</v>
      </c>
      <c r="F663" s="19">
        <f>(L209+L288)-(J209+J288)</f>
        <v>243104.74</v>
      </c>
      <c r="G663" s="19">
        <f>(L227+L307)-(J227+J307)</f>
        <v>141414</v>
      </c>
      <c r="H663" s="19">
        <f>(L245+L326)-(J245+J326)</f>
        <v>243386.94</v>
      </c>
      <c r="I663" s="19">
        <f>SUM(F663:H663)</f>
        <v>627905.67999999993</v>
      </c>
      <c r="J663"/>
      <c r="K663" s="13"/>
      <c r="L663" s="13"/>
      <c r="M663" s="9"/>
    </row>
    <row r="664" spans="1:13" s="3" customFormat="1" ht="12.2" customHeight="1" x14ac:dyDescent="0.15">
      <c r="A664" s="198" t="s">
        <v>129</v>
      </c>
      <c r="B664" s="169"/>
      <c r="C664" s="169"/>
      <c r="D664" s="169"/>
      <c r="E664" s="169"/>
      <c r="F664" s="199">
        <f>SUM(F576:F588)+SUM(H603:H605)+SUM(L612)</f>
        <v>309980.84000000003</v>
      </c>
      <c r="G664" s="199">
        <f>SUM(G576:G588)+SUM(I603:I605)+L613</f>
        <v>35716.74</v>
      </c>
      <c r="H664" s="199">
        <f>SUM(H576:H588)+SUM(J603:J605)+L614</f>
        <v>297118.96999999997</v>
      </c>
      <c r="I664" s="19">
        <f>SUM(F664:H664)</f>
        <v>642816.55000000005</v>
      </c>
      <c r="J664" s="13"/>
      <c r="K664" s="13"/>
      <c r="L664" s="13"/>
      <c r="M664" s="9"/>
    </row>
    <row r="665" spans="1:13" s="3" customFormat="1" ht="12.2" customHeight="1" x14ac:dyDescent="0.15">
      <c r="A665" s="1" t="s">
        <v>130</v>
      </c>
      <c r="F665" s="19">
        <f>F661-SUM(F662:F664)</f>
        <v>4936439.1632960457</v>
      </c>
      <c r="G665" s="19">
        <f>G661-SUM(G662:G664)</f>
        <v>3095470.5150735481</v>
      </c>
      <c r="H665" s="19">
        <f>H661-SUM(H662:H664)</f>
        <v>4131812.9316304093</v>
      </c>
      <c r="I665" s="19">
        <f>I661-SUM(I662:I664)</f>
        <v>12163722.610000003</v>
      </c>
      <c r="J665" s="13"/>
      <c r="K665" s="13"/>
      <c r="L665" s="13"/>
      <c r="M665" s="8"/>
    </row>
    <row r="666" spans="1:13" s="3" customFormat="1" ht="12.2" customHeight="1" x14ac:dyDescent="0.2">
      <c r="A666" s="1" t="s">
        <v>131</v>
      </c>
      <c r="F666" s="246">
        <f>18.25+33.63+126.25</f>
        <v>178.13</v>
      </c>
      <c r="G666" s="247">
        <v>134.71</v>
      </c>
      <c r="H666" s="247">
        <v>161.74</v>
      </c>
      <c r="I666" s="19">
        <f>SUM(F666:H666)</f>
        <v>474.58000000000004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27712.560000000001</v>
      </c>
      <c r="G668" s="19">
        <f>ROUND(G665/G666,2)</f>
        <v>22978.77</v>
      </c>
      <c r="H668" s="19">
        <f>ROUND(H665/H666,2)</f>
        <v>25546.02</v>
      </c>
      <c r="I668" s="19">
        <f>ROUND(I665/I666,2)</f>
        <v>25630.5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-3.56</v>
      </c>
      <c r="I671" s="19">
        <f>SUM(F671:H671)</f>
        <v>-3.56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27712.560000000001</v>
      </c>
      <c r="G673" s="19">
        <f>ROUND((G665+G670)/(G666+G671),2)</f>
        <v>22978.77</v>
      </c>
      <c r="H673" s="19">
        <f>ROUND((H665+H670)/(H666+H671),2)</f>
        <v>26120.959999999999</v>
      </c>
      <c r="I673" s="19">
        <f>ROUND((I665+I670)/(I666+I671),2)</f>
        <v>25824.22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Moultonborough</v>
      </c>
      <c r="C5" s="344"/>
      <c r="D5" s="344"/>
      <c r="E5" s="344"/>
      <c r="F5" s="344"/>
    </row>
    <row r="8" spans="1:9" ht="18" x14ac:dyDescent="0.25">
      <c r="A8" s="323" t="s">
        <v>1591</v>
      </c>
      <c r="F8" s="330" t="s">
        <v>1609</v>
      </c>
    </row>
    <row r="9" spans="1:9" ht="15" x14ac:dyDescent="0.2">
      <c r="A9" s="321" t="s">
        <v>1592</v>
      </c>
      <c r="B9" s="324">
        <f>'DOE25'!G97</f>
        <v>89582.84</v>
      </c>
      <c r="F9" s="321" t="s">
        <v>1605</v>
      </c>
    </row>
    <row r="10" spans="1:9" ht="15" x14ac:dyDescent="0.2">
      <c r="A10" s="321" t="s">
        <v>1593</v>
      </c>
      <c r="B10" s="324">
        <f>'DOE25'!G112-'DOE25'!G97</f>
        <v>0</v>
      </c>
      <c r="F10" s="321" t="s">
        <v>1606</v>
      </c>
    </row>
    <row r="11" spans="1:9" ht="15" x14ac:dyDescent="0.2">
      <c r="A11" s="321" t="s">
        <v>1594</v>
      </c>
      <c r="B11" s="324">
        <f>'DOE25'!G140</f>
        <v>4932.84</v>
      </c>
      <c r="F11" s="321" t="s">
        <v>1607</v>
      </c>
    </row>
    <row r="12" spans="1:9" ht="15" x14ac:dyDescent="0.2">
      <c r="A12" s="321" t="s">
        <v>1595</v>
      </c>
      <c r="B12" s="324">
        <f>'DOE25'!G170</f>
        <v>88118.56</v>
      </c>
      <c r="F12" s="321" t="s">
        <v>1608</v>
      </c>
    </row>
    <row r="13" spans="1:9" ht="15" x14ac:dyDescent="0.2">
      <c r="A13" s="321" t="s">
        <v>1596</v>
      </c>
      <c r="B13" s="324">
        <f>'DOE25'!G193-'DOE25'!G180</f>
        <v>0</v>
      </c>
      <c r="F13" s="321" t="s">
        <v>1618</v>
      </c>
    </row>
    <row r="14" spans="1:9" ht="18" x14ac:dyDescent="0.25">
      <c r="A14" s="323" t="s">
        <v>732</v>
      </c>
      <c r="B14" s="325">
        <f>SUM(B9:B13)</f>
        <v>182634.23999999999</v>
      </c>
    </row>
    <row r="16" spans="1:9" ht="18" x14ac:dyDescent="0.25">
      <c r="A16" s="323" t="s">
        <v>786</v>
      </c>
      <c r="F16" s="330" t="s">
        <v>1610</v>
      </c>
    </row>
    <row r="17" spans="1:6" ht="15" x14ac:dyDescent="0.2">
      <c r="A17" s="321" t="s">
        <v>1597</v>
      </c>
      <c r="B17" s="324">
        <f>'DOE25'!L363-'DOE25'!L362</f>
        <v>219946.97999999998</v>
      </c>
      <c r="F17" s="321" t="s">
        <v>1611</v>
      </c>
    </row>
    <row r="18" spans="1:6" ht="15" x14ac:dyDescent="0.2">
      <c r="A18" s="321" t="s">
        <v>1598</v>
      </c>
      <c r="B18" s="338">
        <v>-37312.74</v>
      </c>
      <c r="F18" s="330" t="s">
        <v>1637</v>
      </c>
    </row>
    <row r="19" spans="1:6" ht="18" x14ac:dyDescent="0.25">
      <c r="A19" s="323" t="s">
        <v>725</v>
      </c>
      <c r="B19" s="325">
        <f>SUM(B17:B18)</f>
        <v>182634.23999999999</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37312.74</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15815.92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Moultonborough</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3301796.7100000004</v>
      </c>
      <c r="C9" s="229">
        <f>'DOE25'!G198+'DOE25'!G216+'DOE25'!G234+'DOE25'!G277+'DOE25'!G296+'DOE25'!G315</f>
        <v>1491692.59</v>
      </c>
    </row>
    <row r="10" spans="1:3" x14ac:dyDescent="0.2">
      <c r="A10" t="s">
        <v>775</v>
      </c>
      <c r="B10" s="240">
        <v>3000037.48</v>
      </c>
      <c r="C10" s="240">
        <v>1386052.73</v>
      </c>
    </row>
    <row r="11" spans="1:3" x14ac:dyDescent="0.2">
      <c r="A11" t="s">
        <v>776</v>
      </c>
      <c r="B11" s="240">
        <v>212905.42</v>
      </c>
      <c r="C11" s="240">
        <v>98842.54</v>
      </c>
    </row>
    <row r="12" spans="1:3" x14ac:dyDescent="0.2">
      <c r="A12" t="s">
        <v>777</v>
      </c>
      <c r="B12" s="240">
        <v>88853.81</v>
      </c>
      <c r="C12" s="240">
        <v>6797.32</v>
      </c>
    </row>
    <row r="13" spans="1:3" x14ac:dyDescent="0.2">
      <c r="A13" t="str">
        <f>IF(B9=B13,IF(C9=C13,"Check Total OK","Check Total Error"),"Check Total Error")</f>
        <v>Check Total OK</v>
      </c>
      <c r="B13" s="231">
        <f>SUM(B10:B12)</f>
        <v>3301796.71</v>
      </c>
      <c r="C13" s="231">
        <f>SUM(C10:C12)</f>
        <v>1491692.59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1539509.0599999998</v>
      </c>
      <c r="C18" s="229">
        <f>'DOE25'!G199+'DOE25'!G217+'DOE25'!G235+'DOE25'!G278+'DOE25'!G297+'DOE25'!G316</f>
        <v>513215.68</v>
      </c>
    </row>
    <row r="19" spans="1:3" x14ac:dyDescent="0.2">
      <c r="A19" t="s">
        <v>775</v>
      </c>
      <c r="B19" s="240">
        <v>895009.54</v>
      </c>
      <c r="C19" s="240">
        <v>385578.67</v>
      </c>
    </row>
    <row r="20" spans="1:3" x14ac:dyDescent="0.2">
      <c r="A20" t="s">
        <v>776</v>
      </c>
      <c r="B20" s="240">
        <v>591920.42000000004</v>
      </c>
      <c r="C20" s="240">
        <v>117741.63</v>
      </c>
    </row>
    <row r="21" spans="1:3" x14ac:dyDescent="0.2">
      <c r="A21" t="s">
        <v>777</v>
      </c>
      <c r="B21" s="240">
        <v>52579.1</v>
      </c>
      <c r="C21" s="240">
        <v>9895.3799999999992</v>
      </c>
    </row>
    <row r="22" spans="1:3" x14ac:dyDescent="0.2">
      <c r="A22" t="str">
        <f>IF(B18=B22,IF(C18=C22,"Check Total OK","Check Total Error"),"Check Total Error")</f>
        <v>Check Total OK</v>
      </c>
      <c r="B22" s="231">
        <f>SUM(B19:B21)</f>
        <v>1539509.06</v>
      </c>
      <c r="C22" s="231">
        <f>SUM(C19:C21)</f>
        <v>513215.68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10735.59</v>
      </c>
      <c r="C27" s="234">
        <f>'DOE25'!G200+'DOE25'!G218+'DOE25'!G236+'DOE25'!G279+'DOE25'!G298+'DOE25'!G317</f>
        <v>821.28</v>
      </c>
    </row>
    <row r="28" spans="1:3" x14ac:dyDescent="0.2">
      <c r="A28" t="s">
        <v>775</v>
      </c>
      <c r="B28" s="240">
        <v>10735.59</v>
      </c>
      <c r="C28" s="240">
        <v>821.28</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10735.59</v>
      </c>
      <c r="C31" s="231">
        <f>SUM(C28:C30)</f>
        <v>821.28</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148256.94</v>
      </c>
      <c r="C36" s="235">
        <f>'DOE25'!G201+'DOE25'!G219+'DOE25'!G237+'DOE25'!G280+'DOE25'!G299+'DOE25'!G318</f>
        <v>26946.39</v>
      </c>
    </row>
    <row r="37" spans="1:3" x14ac:dyDescent="0.2">
      <c r="A37" t="s">
        <v>775</v>
      </c>
      <c r="B37" s="240">
        <v>148256.94</v>
      </c>
      <c r="C37" s="240">
        <v>26946.39</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148256.94</v>
      </c>
      <c r="C40" s="231">
        <f>SUM(C37:C39)</f>
        <v>26946.39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Moultonborough</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8011999.3000000007</v>
      </c>
      <c r="D5" s="20">
        <f>SUM('DOE25'!L198:L201)+SUM('DOE25'!L216:L219)+SUM('DOE25'!L234:L237)-F5-G5-H5</f>
        <v>7867470.7400000012</v>
      </c>
      <c r="E5" s="243"/>
      <c r="F5" s="244"/>
      <c r="G5" s="53">
        <f>SUM('DOE25'!J198:J201)+SUM('DOE25'!J216:J219)+SUM('DOE25'!J234:J237)</f>
        <v>43855.680000000008</v>
      </c>
      <c r="H5" s="53">
        <f>SUM('DOE25'!K198:K201)+SUM('DOE25'!K216:K219)+SUM('DOE25'!K234:K237)</f>
        <v>100672.88</v>
      </c>
      <c r="I5" s="256"/>
    </row>
    <row r="6" spans="1:9" x14ac:dyDescent="0.2">
      <c r="A6" s="32">
        <v>2100</v>
      </c>
      <c r="B6" t="s">
        <v>796</v>
      </c>
      <c r="C6" s="276">
        <f t="shared" si="0"/>
        <v>633434</v>
      </c>
      <c r="D6" s="20">
        <f>'DOE25'!L203+'DOE25'!L221+'DOE25'!L239-F6-G6-H6</f>
        <v>227963.41999999998</v>
      </c>
      <c r="E6" s="243"/>
      <c r="F6" s="244">
        <v>402830.39</v>
      </c>
      <c r="G6" s="53">
        <f>'DOE25'!J203+'DOE25'!J221+'DOE25'!J239</f>
        <v>2461.19</v>
      </c>
      <c r="H6" s="53">
        <f>'DOE25'!K203+'DOE25'!K221+'DOE25'!K239</f>
        <v>179</v>
      </c>
      <c r="I6" s="256"/>
    </row>
    <row r="7" spans="1:9" x14ac:dyDescent="0.2">
      <c r="A7" s="32">
        <v>2200</v>
      </c>
      <c r="B7" t="s">
        <v>821</v>
      </c>
      <c r="C7" s="276">
        <f t="shared" si="0"/>
        <v>1293104.8900000001</v>
      </c>
      <c r="D7" s="20">
        <f>'DOE25'!L204+'DOE25'!L222+'DOE25'!L240-F7-G7-H7</f>
        <v>994529.00000000012</v>
      </c>
      <c r="E7" s="243"/>
      <c r="F7" s="244"/>
      <c r="G7" s="53">
        <f>'DOE25'!J204+'DOE25'!J222+'DOE25'!J240</f>
        <v>290815.26999999996</v>
      </c>
      <c r="H7" s="53">
        <f>'DOE25'!K204+'DOE25'!K222+'DOE25'!K240</f>
        <v>7760.62</v>
      </c>
      <c r="I7" s="256"/>
    </row>
    <row r="8" spans="1:9" x14ac:dyDescent="0.2">
      <c r="A8" s="32">
        <v>2300</v>
      </c>
      <c r="B8" t="s">
        <v>797</v>
      </c>
      <c r="C8" s="276">
        <f t="shared" si="0"/>
        <v>313754.00999999983</v>
      </c>
      <c r="D8" s="243"/>
      <c r="E8" s="20">
        <f>'DOE25'!L205+'DOE25'!L223+'DOE25'!L241-F8-G8-H8-D9-D11</f>
        <v>279300.66999999987</v>
      </c>
      <c r="F8" s="244"/>
      <c r="G8" s="53">
        <f>'DOE25'!J205+'DOE25'!J223+'DOE25'!J241</f>
        <v>4174.93</v>
      </c>
      <c r="H8" s="53">
        <f>'DOE25'!K205+'DOE25'!K223+'DOE25'!K241</f>
        <v>30278.41</v>
      </c>
      <c r="I8" s="256"/>
    </row>
    <row r="9" spans="1:9" ht="14.25" x14ac:dyDescent="0.2">
      <c r="A9" s="32">
        <v>2310</v>
      </c>
      <c r="B9" s="185" t="s">
        <v>890</v>
      </c>
      <c r="C9" s="276">
        <f t="shared" si="0"/>
        <v>26079.35</v>
      </c>
      <c r="D9" s="244">
        <v>26079.35</v>
      </c>
      <c r="E9" s="243"/>
      <c r="F9" s="253"/>
      <c r="G9" s="253"/>
      <c r="H9" s="253"/>
      <c r="I9" s="256"/>
    </row>
    <row r="10" spans="1:9" ht="14.25" x14ac:dyDescent="0.2">
      <c r="A10" s="32">
        <v>2317</v>
      </c>
      <c r="B10" s="185" t="s">
        <v>891</v>
      </c>
      <c r="C10" s="276">
        <f t="shared" si="0"/>
        <v>9200</v>
      </c>
      <c r="D10" s="243"/>
      <c r="E10" s="244">
        <v>9200</v>
      </c>
      <c r="F10" s="253"/>
      <c r="G10" s="253"/>
      <c r="H10" s="253"/>
      <c r="I10" s="256"/>
    </row>
    <row r="11" spans="1:9" ht="14.25" x14ac:dyDescent="0.2">
      <c r="A11" s="32">
        <v>2321</v>
      </c>
      <c r="B11" s="185" t="s">
        <v>892</v>
      </c>
      <c r="C11" s="276">
        <f t="shared" si="0"/>
        <v>262366.08000000002</v>
      </c>
      <c r="D11" s="244">
        <v>262366.08000000002</v>
      </c>
      <c r="E11" s="243"/>
      <c r="F11" s="253"/>
      <c r="G11" s="253"/>
      <c r="H11" s="253"/>
      <c r="I11" s="256"/>
    </row>
    <row r="12" spans="1:9" x14ac:dyDescent="0.2">
      <c r="A12" s="32">
        <v>2400</v>
      </c>
      <c r="B12" t="s">
        <v>711</v>
      </c>
      <c r="C12" s="276">
        <f t="shared" si="0"/>
        <v>701560.02</v>
      </c>
      <c r="D12" s="20">
        <f>'DOE25'!L206+'DOE25'!L224+'DOE25'!L242-F12-G12-H12</f>
        <v>691557.79</v>
      </c>
      <c r="E12" s="243"/>
      <c r="F12" s="244"/>
      <c r="G12" s="53">
        <f>'DOE25'!J206+'DOE25'!J224+'DOE25'!J242</f>
        <v>0</v>
      </c>
      <c r="H12" s="53">
        <f>'DOE25'!K206+'DOE25'!K224+'DOE25'!K242</f>
        <v>10002.23</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1129336.21</v>
      </c>
      <c r="D14" s="20">
        <f>'DOE25'!L208+'DOE25'!L226+'DOE25'!L244-F14-G14-H14</f>
        <v>1089864.21</v>
      </c>
      <c r="E14" s="243"/>
      <c r="F14" s="244">
        <v>39450</v>
      </c>
      <c r="G14" s="53">
        <f>'DOE25'!J208+'DOE25'!J226+'DOE25'!J244</f>
        <v>22</v>
      </c>
      <c r="H14" s="53">
        <f>'DOE25'!K208+'DOE25'!K226+'DOE25'!K244</f>
        <v>0</v>
      </c>
      <c r="I14" s="256"/>
    </row>
    <row r="15" spans="1:9" x14ac:dyDescent="0.2">
      <c r="A15" s="32">
        <v>2700</v>
      </c>
      <c r="B15" t="s">
        <v>799</v>
      </c>
      <c r="C15" s="276">
        <f t="shared" si="0"/>
        <v>627905.67999999993</v>
      </c>
      <c r="D15" s="20">
        <f>'DOE25'!L209+'DOE25'!L227+'DOE25'!L245-F15-G15-H15</f>
        <v>122293.87999999995</v>
      </c>
      <c r="E15" s="243"/>
      <c r="F15" s="244">
        <v>505611.8</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36282.130000000005</v>
      </c>
      <c r="D19" s="20">
        <f>'DOE25'!L254-F19-G19-H19</f>
        <v>31810.130000000005</v>
      </c>
      <c r="E19" s="243"/>
      <c r="F19" s="244"/>
      <c r="G19" s="53">
        <f>'DOE25'!J254</f>
        <v>4472</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219946.97999999998</v>
      </c>
      <c r="D29" s="284">
        <f>'DOE25'!L359+'DOE25'!L360+'DOE25'!L361-'DOE25'!I368-F29-G29-H29</f>
        <v>-2.9103830456733704E-11</v>
      </c>
      <c r="E29" s="243"/>
      <c r="F29" s="244">
        <v>219946.98</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304541.16000000003</v>
      </c>
      <c r="D31" s="20">
        <f>'DOE25'!L291+'DOE25'!L310+'DOE25'!L329+'DOE25'!L334+'DOE25'!L335+'DOE25'!L336-F31-G31-H31</f>
        <v>179178.93000000002</v>
      </c>
      <c r="E31" s="243"/>
      <c r="F31" s="244">
        <v>124653.13</v>
      </c>
      <c r="G31" s="53">
        <f>'DOE25'!J291+'DOE25'!J310+'DOE25'!J329+'DOE25'!J334+'DOE25'!J335+'DOE25'!J336</f>
        <v>709.1</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11493113.530000005</v>
      </c>
      <c r="E33" s="245">
        <f t="shared" si="1"/>
        <v>288500.66999999987</v>
      </c>
      <c r="F33" s="245">
        <f t="shared" si="1"/>
        <v>1292492.2999999998</v>
      </c>
      <c r="G33" s="245">
        <f t="shared" si="1"/>
        <v>346510.16999999993</v>
      </c>
      <c r="H33" s="245">
        <f t="shared" si="1"/>
        <v>148893.14000000001</v>
      </c>
      <c r="I33" s="245">
        <f t="shared" si="1"/>
        <v>0</v>
      </c>
    </row>
    <row r="35" spans="1:9" ht="12" thickBot="1" x14ac:dyDescent="0.25">
      <c r="B35" s="251" t="s">
        <v>831</v>
      </c>
      <c r="D35" s="252">
        <f>E33</f>
        <v>288500.66999999987</v>
      </c>
      <c r="E35" s="248"/>
    </row>
    <row r="36" spans="1:9" ht="12" thickTop="1" x14ac:dyDescent="0.2">
      <c r="B36" t="s">
        <v>810</v>
      </c>
      <c r="D36" s="20">
        <f>D33</f>
        <v>11493113.530000005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Moultonborough</v>
      </c>
      <c r="B2" s="126">
        <f>'DOE25'!B2</f>
        <v>369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5438682.7300000004</v>
      </c>
      <c r="G4" s="303">
        <f>'DOE25'!L212+'DOE25'!L291</f>
        <v>5438682.7300000014</v>
      </c>
      <c r="H4" s="337">
        <f>F4-G4</f>
        <v>0</v>
      </c>
      <c r="I4" s="309" t="str">
        <f>IF(H4=0,"","Does not match DOE25 page 7 and 11 Totals!!")</f>
        <v/>
      </c>
      <c r="N4"/>
    </row>
    <row r="5" spans="1:18" x14ac:dyDescent="0.2">
      <c r="A5" s="21"/>
      <c r="B5" s="304" t="str">
        <f>IFERROR(VLOOKUP(A5,'School Tables'!$C$3:$D$365,2,FALSE),"")</f>
        <v/>
      </c>
      <c r="C5" s="297" t="str">
        <f>IFERROR(INDEX('School Tables'!$B$3:$B$365,MATCH('School Level Expenditures'!B5,'School Tables'!$D$3:$D$365,0)),"")</f>
        <v/>
      </c>
      <c r="D5" s="294"/>
      <c r="E5" s="294"/>
      <c r="F5" s="312">
        <f>D5+E5</f>
        <v>0</v>
      </c>
      <c r="G5" s="297"/>
      <c r="H5" s="297"/>
      <c r="I5" s="126"/>
      <c r="N5"/>
    </row>
    <row r="6" spans="1:18" x14ac:dyDescent="0.2">
      <c r="A6" s="21" t="s">
        <v>1287</v>
      </c>
      <c r="B6" s="304">
        <f>IFERROR(VLOOKUP(A6,'School Tables'!$C$3:$D$365,2,FALSE),"")</f>
        <v>22115</v>
      </c>
      <c r="C6" s="297" t="str">
        <f>IFERROR(INDEX('School Tables'!$B$3:$B$365,MATCH('School Level Expenditures'!B6,'School Tables'!$D$3:$D$365,0)),"")</f>
        <v>Moultonborough</v>
      </c>
      <c r="D6" s="294">
        <v>5134141.57</v>
      </c>
      <c r="E6" s="294">
        <v>304541.15999999997</v>
      </c>
      <c r="F6" s="307">
        <f t="shared" ref="F6:F20" si="0">D6+E6</f>
        <v>5438682.7300000004</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3237402.94</v>
      </c>
      <c r="G24" s="303">
        <f>'DOE25'!L230+'DOE25'!L310</f>
        <v>3237402.9400000004</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t="s">
        <v>1633</v>
      </c>
      <c r="B26" s="304">
        <f>IFERROR(VLOOKUP(A26,'School Tables'!$I$3:$J$80,2,FALSE),"")</f>
        <v>26960</v>
      </c>
      <c r="C26" s="297" t="str">
        <f t="array" ref="C26">IFERROR(INDEX('School Tables'!$H$3:$H$80,MATCH('School Level Expenditures'!B26,'School Tables'!$J$3:$J$80,0)),"")</f>
        <v>Moultonborough</v>
      </c>
      <c r="D26" s="294">
        <v>3237402.94</v>
      </c>
      <c r="E26" s="294"/>
      <c r="F26" s="307">
        <f t="shared" ref="F26:F32" si="1">D26+E26</f>
        <v>3237402.94</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4627995.03</v>
      </c>
      <c r="G36" s="303">
        <f>'DOE25'!L248+'DOE25'!L329</f>
        <v>4627995.03</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t="s">
        <v>1288</v>
      </c>
      <c r="B38" s="304">
        <f>IFERROR(VLOOKUP(A38,'School Tables'!$O$3:$P$118,2,FALSE),"")</f>
        <v>22120</v>
      </c>
      <c r="C38" s="297" t="str">
        <f t="array" ref="C38">IFERROR(INDEX('School Tables'!$N$3:$N$118,MATCH('School Level Expenditures'!B38,'School Tables'!$P$3:$P$118,0)),"")</f>
        <v>Moultonborough</v>
      </c>
      <c r="D38" s="294">
        <v>4627995.03</v>
      </c>
      <c r="E38" s="294"/>
      <c r="F38" s="307">
        <f t="shared" ref="F38:F41" si="2">D38+E38</f>
        <v>4627995.03</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Moultonborough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1634515.91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1630792.63</v>
      </c>
      <c r="H11" s="124"/>
      <c r="I11" s="124"/>
    </row>
    <row r="12" spans="1:9" x14ac:dyDescent="0.2">
      <c r="A12" s="1" t="s">
        <v>143</v>
      </c>
      <c r="B12" s="6">
        <v>140</v>
      </c>
      <c r="C12" s="95">
        <f>'DOE25'!F13</f>
        <v>0</v>
      </c>
      <c r="D12" s="95">
        <f>'DOE25'!G13</f>
        <v>14252.4</v>
      </c>
      <c r="E12" s="95">
        <f>'DOE25'!H13</f>
        <v>171688.49</v>
      </c>
      <c r="F12" s="95">
        <f>'DOE25'!I13</f>
        <v>0</v>
      </c>
      <c r="G12" s="95">
        <f>'DOE25'!J13</f>
        <v>0</v>
      </c>
      <c r="H12" s="124"/>
      <c r="I12" s="124"/>
    </row>
    <row r="13" spans="1:9" x14ac:dyDescent="0.2">
      <c r="A13" s="1" t="s">
        <v>144</v>
      </c>
      <c r="B13" s="6">
        <v>150</v>
      </c>
      <c r="C13" s="95">
        <f>'DOE25'!F14</f>
        <v>0</v>
      </c>
      <c r="D13" s="95">
        <f>'DOE25'!G14</f>
        <v>23642.799999999999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1634515.91</v>
      </c>
      <c r="D18" s="41">
        <f>SUM(D8:D17)</f>
        <v>37895.199999999997</v>
      </c>
      <c r="E18" s="41">
        <f>SUM(E8:E17)</f>
        <v>171688.49</v>
      </c>
      <c r="F18" s="41">
        <f>SUM(F8:F17)</f>
        <v>0</v>
      </c>
      <c r="G18" s="41">
        <f>SUM(G8:G17)</f>
        <v>1630792.63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222285</v>
      </c>
      <c r="D21" s="95">
        <f>'DOE25'!G22</f>
        <v>37895.199999999997</v>
      </c>
      <c r="E21" s="95">
        <f>'DOE25'!H22</f>
        <v>154224.23000000001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8680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497976.81</v>
      </c>
      <c r="D29" s="95">
        <f>'DOE25'!G30</f>
        <v>0</v>
      </c>
      <c r="E29" s="95">
        <f>'DOE25'!H30</f>
        <v>17464.259999999998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728941.81</v>
      </c>
      <c r="D31" s="41">
        <f>SUM(D21:D30)</f>
        <v>37895.199999999997</v>
      </c>
      <c r="E31" s="41">
        <f>SUM(E21:E30)</f>
        <v>171688.49000000002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1630792.63</v>
      </c>
      <c r="H47" s="124"/>
      <c r="I47" s="124"/>
    </row>
    <row r="48" spans="1:9" x14ac:dyDescent="0.2">
      <c r="A48" s="1" t="s">
        <v>882</v>
      </c>
      <c r="B48" s="6">
        <v>753</v>
      </c>
      <c r="C48" s="95">
        <f>'DOE25'!F49</f>
        <v>612909.1</v>
      </c>
      <c r="D48" s="95">
        <f>'DOE25'!G49</f>
        <v>0</v>
      </c>
      <c r="E48" s="95">
        <f>'DOE25'!H49</f>
        <v>0</v>
      </c>
      <c r="F48" s="95">
        <f>'DOE25'!I49</f>
        <v>0</v>
      </c>
      <c r="G48" s="95">
        <f>'DOE25'!J49</f>
        <v>0</v>
      </c>
      <c r="H48" s="124"/>
      <c r="I48" s="124"/>
    </row>
    <row r="49" spans="1:9" ht="12" thickBot="1" x14ac:dyDescent="0.25">
      <c r="A49" s="29" t="s">
        <v>883</v>
      </c>
      <c r="B49" s="71">
        <v>770</v>
      </c>
      <c r="C49" s="95">
        <f>'DOE25'!F50</f>
        <v>17665</v>
      </c>
      <c r="D49" s="24" t="s">
        <v>288</v>
      </c>
      <c r="E49" s="24" t="s">
        <v>288</v>
      </c>
      <c r="F49" s="24" t="s">
        <v>288</v>
      </c>
      <c r="G49" s="24" t="s">
        <v>288</v>
      </c>
      <c r="H49" s="124"/>
      <c r="I49" s="124"/>
    </row>
    <row r="50" spans="1:9" ht="12.75" thickTop="1" thickBot="1" x14ac:dyDescent="0.25">
      <c r="A50" s="38" t="s">
        <v>884</v>
      </c>
      <c r="B50" s="48"/>
      <c r="C50" s="41">
        <f>SUM(C34:C49)</f>
        <v>905574.1</v>
      </c>
      <c r="D50" s="41">
        <f>SUM(D34:D49)</f>
        <v>0</v>
      </c>
      <c r="E50" s="41">
        <f>SUM(E34:E49)</f>
        <v>0</v>
      </c>
      <c r="F50" s="41">
        <f>SUM(F34:F49)</f>
        <v>0</v>
      </c>
      <c r="G50" s="41">
        <f>SUM(G34:G49)</f>
        <v>1630792.63</v>
      </c>
      <c r="H50" s="124"/>
      <c r="I50" s="124"/>
    </row>
    <row r="51" spans="1:9" ht="12" thickTop="1" x14ac:dyDescent="0.2">
      <c r="A51" s="38" t="s">
        <v>885</v>
      </c>
      <c r="B51" s="2"/>
      <c r="C51" s="41">
        <f>C50+C31</f>
        <v>1634515.9100000001</v>
      </c>
      <c r="D51" s="41">
        <f>D50+D31</f>
        <v>37895.199999999997</v>
      </c>
      <c r="E51" s="41">
        <f>E50+E31</f>
        <v>171688.49000000002</v>
      </c>
      <c r="F51" s="41">
        <f>F50+F31</f>
        <v>0</v>
      </c>
      <c r="G51" s="41">
        <f>G50+G31</f>
        <v>1630792.63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6457505</v>
      </c>
      <c r="D56" s="95">
        <f>'DOE25'!G60</f>
        <v>0</v>
      </c>
      <c r="E56" s="95">
        <f>'DOE25'!H60</f>
        <v>0</v>
      </c>
      <c r="F56" s="95">
        <f>'DOE25'!I60</f>
        <v>0</v>
      </c>
      <c r="G56" s="95">
        <f>'DOE25'!J60</f>
        <v>0</v>
      </c>
      <c r="H56"/>
      <c r="I56"/>
    </row>
    <row r="57" spans="1:9" x14ac:dyDescent="0.2">
      <c r="A57" s="1" t="s">
        <v>164</v>
      </c>
      <c r="B57" s="6" t="s">
        <v>165</v>
      </c>
      <c r="C57" s="95">
        <f>'DOE25'!F79</f>
        <v>38229.93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9715.16</v>
      </c>
      <c r="D59" s="95">
        <f>'DOE25'!G96</f>
        <v>0</v>
      </c>
      <c r="E59" s="95">
        <f>'DOE25'!H96</f>
        <v>0</v>
      </c>
      <c r="F59" s="95">
        <f>'DOE25'!I96</f>
        <v>0</v>
      </c>
      <c r="G59" s="95">
        <f>'DOE25'!J96</f>
        <v>55798.94</v>
      </c>
      <c r="H59"/>
      <c r="I59"/>
    </row>
    <row r="60" spans="1:9" x14ac:dyDescent="0.2">
      <c r="A60" s="1" t="s">
        <v>170</v>
      </c>
      <c r="B60" s="118" t="s">
        <v>171</v>
      </c>
      <c r="C60" s="24" t="s">
        <v>288</v>
      </c>
      <c r="D60" s="95">
        <f>'DOE25'!G97</f>
        <v>89582.84</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1268799.54</v>
      </c>
      <c r="H61"/>
      <c r="I61"/>
    </row>
    <row r="62" spans="1:9" ht="12.75" thickTop="1" thickBot="1" x14ac:dyDescent="0.25">
      <c r="A62" s="29" t="s">
        <v>174</v>
      </c>
      <c r="B62" s="6"/>
      <c r="C62" s="130">
        <f>SUM(C57:C61)</f>
        <v>47945.09</v>
      </c>
      <c r="D62" s="130">
        <f>SUM(D57:D61)</f>
        <v>89582.84</v>
      </c>
      <c r="E62" s="130">
        <f>SUM(E57:E61)</f>
        <v>0</v>
      </c>
      <c r="F62" s="130">
        <f>SUM(F57:F61)</f>
        <v>0</v>
      </c>
      <c r="G62" s="130">
        <f>SUM(G57:G61)</f>
        <v>1324598.48</v>
      </c>
      <c r="H62"/>
      <c r="I62"/>
    </row>
    <row r="63" spans="1:9" ht="12" thickTop="1" x14ac:dyDescent="0.2">
      <c r="A63" s="29" t="s">
        <v>175</v>
      </c>
      <c r="B63" s="6"/>
      <c r="C63" s="22">
        <f>C56+C62</f>
        <v>6505450.0899999999</v>
      </c>
      <c r="D63" s="22">
        <f>D56+D62</f>
        <v>89582.84</v>
      </c>
      <c r="E63" s="22">
        <f>E56+E62</f>
        <v>0</v>
      </c>
      <c r="F63" s="22">
        <f>F56+F62</f>
        <v>0</v>
      </c>
      <c r="G63" s="22">
        <f>G56+G62</f>
        <v>1324598.48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6535677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6535677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5870</v>
      </c>
      <c r="D74" s="24"/>
      <c r="E74" s="24"/>
      <c r="F74" s="24"/>
      <c r="G74" s="24"/>
      <c r="H74"/>
      <c r="I74"/>
    </row>
    <row r="75" spans="1:9" x14ac:dyDescent="0.2">
      <c r="A75" s="1" t="s">
        <v>256</v>
      </c>
      <c r="B75" s="6">
        <v>3230</v>
      </c>
      <c r="C75" s="95">
        <f>'DOE25'!F126</f>
        <v>201610.61</v>
      </c>
      <c r="D75" s="24" t="s">
        <v>288</v>
      </c>
      <c r="E75" s="24" t="s">
        <v>288</v>
      </c>
      <c r="F75" s="24" t="s">
        <v>288</v>
      </c>
      <c r="G75" s="24" t="s">
        <v>288</v>
      </c>
      <c r="H75"/>
      <c r="I75"/>
    </row>
    <row r="76" spans="1:9" x14ac:dyDescent="0.2">
      <c r="A76" s="1" t="s">
        <v>257</v>
      </c>
      <c r="B76" s="6" t="s">
        <v>179</v>
      </c>
      <c r="C76" s="95">
        <f>SUM('DOE25'!F127:F130)</f>
        <v>8560.7999999999993</v>
      </c>
      <c r="D76" s="24" t="s">
        <v>288</v>
      </c>
      <c r="E76" s="95">
        <f>SUM('DOE25'!H127:H130)</f>
        <v>0</v>
      </c>
      <c r="F76" s="95">
        <f>SUM('DOE25'!I127:I130)</f>
        <v>0</v>
      </c>
      <c r="G76" s="24" t="s">
        <v>288</v>
      </c>
      <c r="H76"/>
      <c r="I76"/>
    </row>
    <row r="77" spans="1:9" ht="12" thickBot="1" x14ac:dyDescent="0.25">
      <c r="A77" s="1" t="s">
        <v>258</v>
      </c>
      <c r="B77" s="6" t="s">
        <v>180</v>
      </c>
      <c r="C77" s="95">
        <f>SUM('DOE25'!F131:F135)</f>
        <v>3748.49</v>
      </c>
      <c r="D77" s="95">
        <f>SUM('DOE25'!G131:G135)</f>
        <v>4932.84</v>
      </c>
      <c r="E77" s="95">
        <f>SUM('DOE25'!H131:H135)</f>
        <v>0</v>
      </c>
      <c r="F77" s="95">
        <f>SUM('DOE25'!I131:I135)</f>
        <v>0</v>
      </c>
      <c r="G77" s="95">
        <f>SUM('DOE25'!J131:J135)</f>
        <v>0</v>
      </c>
      <c r="H77"/>
      <c r="I77"/>
    </row>
    <row r="78" spans="1:9" ht="12.75" thickTop="1" thickBot="1" x14ac:dyDescent="0.25">
      <c r="A78" s="29" t="s">
        <v>259</v>
      </c>
      <c r="B78" s="6"/>
      <c r="C78" s="130">
        <f>SUM(C72:C77)</f>
        <v>219789.89999999997</v>
      </c>
      <c r="D78" s="130">
        <f>SUM(D72:D77)</f>
        <v>4932.84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6755466.9000000004</v>
      </c>
      <c r="D81" s="130">
        <f>SUM(D79:D80)+D78+D70</f>
        <v>4932.84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128727.51999999999</v>
      </c>
      <c r="D88" s="341">
        <f>SUM('DOE25'!G153:G162)</f>
        <v>88118.56</v>
      </c>
      <c r="E88" s="341">
        <f>SUM('DOE25'!H153:H162)</f>
        <v>304541.16000000003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128727.51999999999</v>
      </c>
      <c r="D91" s="131">
        <f>SUM(D85:D90)</f>
        <v>88118.56</v>
      </c>
      <c r="E91" s="131">
        <f>SUM(E85:E90)</f>
        <v>304541.16000000003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37312.74</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37312.74</v>
      </c>
      <c r="E103" s="86">
        <f>SUM(E93:E102)</f>
        <v>0</v>
      </c>
      <c r="F103" s="86">
        <f>SUM(F93:F102)</f>
        <v>0</v>
      </c>
      <c r="G103" s="86">
        <f>SUM(G93:G102)</f>
        <v>75000</v>
      </c>
    </row>
    <row r="104" spans="1:7" ht="12.75" thickTop="1" thickBot="1" x14ac:dyDescent="0.25">
      <c r="A104" s="33" t="s">
        <v>761</v>
      </c>
      <c r="C104" s="86">
        <f>C63+C81+C91+C103</f>
        <v>13389644.51</v>
      </c>
      <c r="D104" s="86">
        <f>D63+D81+D91+D103</f>
        <v>219946.97999999998</v>
      </c>
      <c r="E104" s="86">
        <f>E63+E81+E91+E103</f>
        <v>304541.16000000003</v>
      </c>
      <c r="F104" s="86">
        <f>F63+F81+F91+F103</f>
        <v>0</v>
      </c>
      <c r="G104" s="86">
        <f>G63+G81+G103</f>
        <v>1399598.48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4973602.3100000005</v>
      </c>
      <c r="D109" s="24" t="s">
        <v>288</v>
      </c>
      <c r="E109" s="95">
        <f>('DOE25'!L277)+('DOE25'!L296)+('DOE25'!L315)</f>
        <v>175653.88</v>
      </c>
      <c r="F109" s="24" t="s">
        <v>288</v>
      </c>
      <c r="G109" s="24" t="s">
        <v>288</v>
      </c>
    </row>
    <row r="110" spans="1:7" x14ac:dyDescent="0.2">
      <c r="A110" t="s">
        <v>198</v>
      </c>
      <c r="B110" s="32" t="s">
        <v>199</v>
      </c>
      <c r="C110" s="95">
        <f>('DOE25'!L199)+('DOE25'!L217)+('DOE25'!L235)</f>
        <v>2721208.88</v>
      </c>
      <c r="D110" s="24" t="s">
        <v>288</v>
      </c>
      <c r="E110" s="95">
        <f>('DOE25'!L278)+('DOE25'!L297)+('DOE25'!L316)</f>
        <v>128887.28</v>
      </c>
      <c r="F110" s="24" t="s">
        <v>288</v>
      </c>
      <c r="G110" s="24" t="s">
        <v>288</v>
      </c>
    </row>
    <row r="111" spans="1:7" x14ac:dyDescent="0.2">
      <c r="A111" t="s">
        <v>200</v>
      </c>
      <c r="B111" s="32" t="s">
        <v>165</v>
      </c>
      <c r="C111" s="95">
        <f>('DOE25'!L200)+('DOE25'!L218)+('DOE25'!L236)</f>
        <v>40133.740000000005</v>
      </c>
      <c r="D111" s="24" t="s">
        <v>288</v>
      </c>
      <c r="E111" s="95">
        <f>('DOE25'!L279)+('DOE25'!L298)+('DOE25'!L317)</f>
        <v>0</v>
      </c>
      <c r="F111" s="24" t="s">
        <v>288</v>
      </c>
      <c r="G111" s="24" t="s">
        <v>288</v>
      </c>
    </row>
    <row r="112" spans="1:7" x14ac:dyDescent="0.2">
      <c r="A112" t="s">
        <v>201</v>
      </c>
      <c r="B112" s="32" t="s">
        <v>167</v>
      </c>
      <c r="C112" s="95">
        <f>('DOE25'!L201)+('DOE25'!L219)+('DOE25'!L237)</f>
        <v>277054.37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36282.130000000005</v>
      </c>
      <c r="D114" s="24" t="s">
        <v>288</v>
      </c>
      <c r="E114" s="95">
        <f>+ SUM('DOE25'!L334:L336)</f>
        <v>0</v>
      </c>
      <c r="F114" s="24" t="s">
        <v>288</v>
      </c>
      <c r="G114" s="24" t="s">
        <v>288</v>
      </c>
    </row>
    <row r="115" spans="1:7" ht="12.75" thickTop="1" thickBot="1" x14ac:dyDescent="0.25">
      <c r="A115" s="33" t="s">
        <v>205</v>
      </c>
      <c r="C115" s="86">
        <f>SUM(C109:C114)</f>
        <v>8048281.4300000006</v>
      </c>
      <c r="D115" s="86">
        <f>SUM(D109:D114)</f>
        <v>0</v>
      </c>
      <c r="E115" s="86">
        <f>SUM(E109:E114)</f>
        <v>304541.16000000003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633434</v>
      </c>
      <c r="D118" s="24" t="s">
        <v>288</v>
      </c>
      <c r="E118" s="95">
        <f>+('DOE25'!L282)+('DOE25'!L301)+('DOE25'!L320)</f>
        <v>0</v>
      </c>
      <c r="F118" s="24" t="s">
        <v>288</v>
      </c>
      <c r="G118" s="24" t="s">
        <v>288</v>
      </c>
    </row>
    <row r="119" spans="1:7" x14ac:dyDescent="0.2">
      <c r="A119" t="s">
        <v>208</v>
      </c>
      <c r="B119" s="32" t="s">
        <v>209</v>
      </c>
      <c r="C119" s="95">
        <f>('DOE25'!L204)+('DOE25'!L222)+('DOE25'!L240)</f>
        <v>1293104.8900000001</v>
      </c>
      <c r="D119" s="24" t="s">
        <v>288</v>
      </c>
      <c r="E119" s="95">
        <f>+('DOE25'!L283)+('DOE25'!L302)+('DOE25'!L321)</f>
        <v>0</v>
      </c>
      <c r="F119" s="24" t="s">
        <v>288</v>
      </c>
      <c r="G119" s="24" t="s">
        <v>288</v>
      </c>
    </row>
    <row r="120" spans="1:7" x14ac:dyDescent="0.2">
      <c r="A120" t="s">
        <v>210</v>
      </c>
      <c r="B120" s="32" t="s">
        <v>211</v>
      </c>
      <c r="C120" s="95">
        <f>('DOE25'!L205)+('DOE25'!L223)+('DOE25'!L241)</f>
        <v>602199.43999999994</v>
      </c>
      <c r="D120" s="24" t="s">
        <v>288</v>
      </c>
      <c r="E120" s="95">
        <f>+('DOE25'!L284)+('DOE25'!L303)+('DOE25'!L322)</f>
        <v>0</v>
      </c>
      <c r="F120" s="24" t="s">
        <v>288</v>
      </c>
      <c r="G120" s="24" t="s">
        <v>288</v>
      </c>
    </row>
    <row r="121" spans="1:7" x14ac:dyDescent="0.2">
      <c r="A121" t="s">
        <v>212</v>
      </c>
      <c r="B121" s="32" t="s">
        <v>213</v>
      </c>
      <c r="C121" s="95">
        <f>('DOE25'!L206)+('DOE25'!L224)+('DOE25'!L242)</f>
        <v>701560.02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1129336.21</v>
      </c>
      <c r="D123" s="24" t="s">
        <v>288</v>
      </c>
      <c r="E123" s="95">
        <f>+('DOE25'!L287)+('DOE25'!L306)+('DOE25'!L325)</f>
        <v>0</v>
      </c>
      <c r="F123" s="24" t="s">
        <v>288</v>
      </c>
      <c r="G123" s="24" t="s">
        <v>288</v>
      </c>
    </row>
    <row r="124" spans="1:7" x14ac:dyDescent="0.2">
      <c r="A124" t="s">
        <v>218</v>
      </c>
      <c r="B124" s="32" t="s">
        <v>219</v>
      </c>
      <c r="C124" s="95">
        <f>('DOE25'!L209)+('DOE25'!L227)+('DOE25'!L245+'DOE25'!L255)</f>
        <v>627905.67999999993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219946.97999999998</v>
      </c>
      <c r="E127" s="24" t="s">
        <v>288</v>
      </c>
      <c r="F127" s="24" t="s">
        <v>288</v>
      </c>
      <c r="G127" s="24" t="s">
        <v>288</v>
      </c>
    </row>
    <row r="128" spans="1:7" ht="12.75" thickTop="1" thickBot="1" x14ac:dyDescent="0.25">
      <c r="A128" s="33" t="s">
        <v>226</v>
      </c>
      <c r="C128" s="86">
        <f>SUM(C118:C127)</f>
        <v>4987540.24</v>
      </c>
      <c r="D128" s="86">
        <f>SUM(D118:D127)</f>
        <v>219946.97999999998</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37312.74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1399598.48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-1324598.48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112312.73999999999</v>
      </c>
      <c r="D144" s="141">
        <f>SUM(D130:D143)</f>
        <v>0</v>
      </c>
      <c r="E144" s="141">
        <f>SUM(E130:E143)</f>
        <v>0</v>
      </c>
      <c r="F144" s="141">
        <f>SUM(F130:F143)</f>
        <v>0</v>
      </c>
      <c r="G144" s="141">
        <f>SUM(G130:G143)</f>
        <v>0</v>
      </c>
    </row>
    <row r="145" spans="1:9" ht="12.75" thickTop="1" thickBot="1" x14ac:dyDescent="0.25">
      <c r="A145" s="33" t="s">
        <v>244</v>
      </c>
      <c r="C145" s="86">
        <f>(C115+C128+C144)</f>
        <v>13148134.410000002</v>
      </c>
      <c r="D145" s="86">
        <f>(D115+D128+D144)</f>
        <v>219946.97999999998</v>
      </c>
      <c r="E145" s="86">
        <f>(E115+E128+E144)</f>
        <v>304541.16000000003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3"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Moultonborough</v>
      </c>
    </row>
    <row r="3" spans="1:4" x14ac:dyDescent="0.2">
      <c r="B3" s="188" t="s">
        <v>1587</v>
      </c>
    </row>
    <row r="4" spans="1:4" x14ac:dyDescent="0.2">
      <c r="B4" t="s">
        <v>61</v>
      </c>
      <c r="C4" s="179">
        <f>IF('DOE25'!F666+'DOE25'!F671=0,0,ROUND('DOE25'!F673,0))</f>
        <v>27713</v>
      </c>
    </row>
    <row r="5" spans="1:4" x14ac:dyDescent="0.2">
      <c r="B5" t="s">
        <v>700</v>
      </c>
      <c r="C5" s="179">
        <f>IF('DOE25'!G666+'DOE25'!G671=0,0,ROUND('DOE25'!G673,0))</f>
        <v>22979</v>
      </c>
    </row>
    <row r="6" spans="1:4" x14ac:dyDescent="0.2">
      <c r="B6" t="s">
        <v>62</v>
      </c>
      <c r="C6" s="179">
        <f>IF('DOE25'!H666+'DOE25'!H671=0,0,ROUND('DOE25'!H673,0))</f>
        <v>26121</v>
      </c>
    </row>
    <row r="7" spans="1:4" x14ac:dyDescent="0.2">
      <c r="B7" t="s">
        <v>701</v>
      </c>
      <c r="C7" s="179">
        <f>IF('DOE25'!I666+'DOE25'!I671=0,0,ROUND('DOE25'!I673,0))</f>
        <v>25824</v>
      </c>
    </row>
    <row r="9" spans="1:4" x14ac:dyDescent="0.2">
      <c r="A9" s="187" t="s">
        <v>94</v>
      </c>
      <c r="B9" s="188" t="s">
        <v>1588</v>
      </c>
      <c r="C9" s="181" t="s">
        <v>720</v>
      </c>
      <c r="D9" s="181" t="s">
        <v>721</v>
      </c>
    </row>
    <row r="10" spans="1:4" x14ac:dyDescent="0.2">
      <c r="A10">
        <v>1100</v>
      </c>
      <c r="B10" t="s">
        <v>702</v>
      </c>
      <c r="C10" s="179">
        <f>ROUND('DOE25'!L198+'DOE25'!L216+'DOE25'!L234+'DOE25'!L277+'DOE25'!L296+'DOE25'!L315,0)</f>
        <v>5149256</v>
      </c>
      <c r="D10" s="182">
        <f>ROUND((C10/$C$28)*100,1)</f>
        <v>38.200000000000003</v>
      </c>
    </row>
    <row r="11" spans="1:4" x14ac:dyDescent="0.2">
      <c r="A11">
        <v>1200</v>
      </c>
      <c r="B11" t="s">
        <v>703</v>
      </c>
      <c r="C11" s="179">
        <f>ROUND('DOE25'!L199+'DOE25'!L217+'DOE25'!L235+'DOE25'!L278+'DOE25'!L297+'DOE25'!L316,0)</f>
        <v>2850096</v>
      </c>
      <c r="D11" s="182">
        <f>ROUND((C11/$C$28)*100,1)</f>
        <v>21.2</v>
      </c>
    </row>
    <row r="12" spans="1:4" x14ac:dyDescent="0.2">
      <c r="A12">
        <v>1300</v>
      </c>
      <c r="B12" t="s">
        <v>704</v>
      </c>
      <c r="C12" s="179">
        <f>ROUND('DOE25'!L200+'DOE25'!L218+'DOE25'!L236+'DOE25'!L279+'DOE25'!L298+'DOE25'!L317,0)</f>
        <v>40134</v>
      </c>
      <c r="D12" s="182">
        <f>ROUND((C12/$C$28)*100,1)</f>
        <v>0.3</v>
      </c>
    </row>
    <row r="13" spans="1:4" x14ac:dyDescent="0.2">
      <c r="A13">
        <v>1400</v>
      </c>
      <c r="B13" t="s">
        <v>705</v>
      </c>
      <c r="C13" s="179">
        <f>ROUND('DOE25'!L201+'DOE25'!L219+'DOE25'!L237+'DOE25'!L280+'DOE25'!L299+'DOE25'!L318,0)</f>
        <v>277054</v>
      </c>
      <c r="D13" s="182">
        <f>ROUND((C13/$C$28)*100,1)</f>
        <v>2.1</v>
      </c>
    </row>
    <row r="14" spans="1:4" x14ac:dyDescent="0.2">
      <c r="D14" s="182"/>
    </row>
    <row r="15" spans="1:4" x14ac:dyDescent="0.2">
      <c r="A15">
        <v>2100</v>
      </c>
      <c r="B15" t="s">
        <v>706</v>
      </c>
      <c r="C15" s="179">
        <f>ROUND('DOE25'!L203+'DOE25'!L221+'DOE25'!L239+'DOE25'!L282+'DOE25'!L301+'DOE25'!L320,0)</f>
        <v>633434</v>
      </c>
      <c r="D15" s="182">
        <f t="shared" ref="D15:D27" si="0">ROUND((C15/$C$28)*100,1)</f>
        <v>4.7</v>
      </c>
    </row>
    <row r="16" spans="1:4" x14ac:dyDescent="0.2">
      <c r="A16">
        <v>2200</v>
      </c>
      <c r="B16" t="s">
        <v>707</v>
      </c>
      <c r="C16" s="179">
        <f>ROUND('DOE25'!L204+'DOE25'!L222+'DOE25'!L240+'DOE25'!L283+'DOE25'!L302+'DOE25'!L321,0)</f>
        <v>1293105</v>
      </c>
      <c r="D16" s="182">
        <f t="shared" si="0"/>
        <v>9.6</v>
      </c>
    </row>
    <row r="17" spans="1:4" x14ac:dyDescent="0.2">
      <c r="A17" s="183" t="s">
        <v>723</v>
      </c>
      <c r="B17" t="s">
        <v>738</v>
      </c>
      <c r="C17" s="179">
        <f>ROUND('DOE25'!L205+'DOE25'!L210+'DOE25'!L223+'DOE25'!L228+'DOE25'!L241+'DOE25'!L246+'DOE25'!L284+'DOE25'!L289+'DOE25'!L303+'DOE25'!L308+'DOE25'!L322+'DOE25'!L327,0)</f>
        <v>602199</v>
      </c>
      <c r="D17" s="182">
        <f t="shared" si="0"/>
        <v>4.5</v>
      </c>
    </row>
    <row r="18" spans="1:4" x14ac:dyDescent="0.2">
      <c r="A18">
        <v>2400</v>
      </c>
      <c r="B18" t="s">
        <v>711</v>
      </c>
      <c r="C18" s="179">
        <f>ROUND('DOE25'!L206+'DOE25'!L224+'DOE25'!L242+'DOE25'!L285+'DOE25'!L304+'DOE25'!L323,0)</f>
        <v>701560</v>
      </c>
      <c r="D18" s="182">
        <f t="shared" si="0"/>
        <v>5.2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1129336</v>
      </c>
      <c r="D20" s="182">
        <f t="shared" si="0"/>
        <v>8.4</v>
      </c>
    </row>
    <row r="21" spans="1:4" x14ac:dyDescent="0.2">
      <c r="A21">
        <v>2700</v>
      </c>
      <c r="B21" t="s">
        <v>710</v>
      </c>
      <c r="C21" s="179">
        <f>ROUND('DOE25'!L209+'DOE25'!L227+'DOE25'!L245+'DOE25'!L288+'DOE25'!L307+'DOE25'!L326,0)</f>
        <v>627906</v>
      </c>
      <c r="D21" s="182">
        <f t="shared" si="0"/>
        <v>4.7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36282</v>
      </c>
      <c r="D24" s="182">
        <f t="shared" si="0"/>
        <v>0.3</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130364.16</v>
      </c>
      <c r="D27" s="182">
        <f t="shared" si="0"/>
        <v>1</v>
      </c>
    </row>
    <row r="28" spans="1:4" x14ac:dyDescent="0.2">
      <c r="B28" s="187" t="s">
        <v>719</v>
      </c>
      <c r="C28" s="180">
        <f>SUM(C10:C27)</f>
        <v>13470726.16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13470726.16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6457505</v>
      </c>
      <c r="D35" s="182">
        <f t="shared" ref="D35:D40" si="1">ROUND((C35/$C$41)*100,1)</f>
        <v>42.7</v>
      </c>
    </row>
    <row r="36" spans="1:4" x14ac:dyDescent="0.2">
      <c r="B36" s="185" t="s">
        <v>739</v>
      </c>
      <c r="C36" s="179">
        <f>SUM('DOE25'!F112:J112)-SUM('DOE25'!G97:G110)+('DOE25'!F175+'DOE25'!F176+'DOE25'!I175+'DOE25'!I176)-C35</f>
        <v>1372543.5700000003</v>
      </c>
      <c r="D36" s="182">
        <f t="shared" si="1"/>
        <v>9.1</v>
      </c>
    </row>
    <row r="37" spans="1:4" x14ac:dyDescent="0.2">
      <c r="A37" s="183" t="s">
        <v>835</v>
      </c>
      <c r="B37" s="185" t="s">
        <v>728</v>
      </c>
      <c r="C37" s="179">
        <f>ROUND('DOE25'!F117+'DOE25'!F118,0)</f>
        <v>6535677</v>
      </c>
      <c r="D37" s="182">
        <f t="shared" si="1"/>
        <v>43.2</v>
      </c>
    </row>
    <row r="38" spans="1:4" x14ac:dyDescent="0.2">
      <c r="A38" s="183" t="s">
        <v>734</v>
      </c>
      <c r="B38" s="185" t="s">
        <v>729</v>
      </c>
      <c r="C38" s="179">
        <f>ROUND(SUM('DOE25'!F140:J140)-SUM('DOE25'!F117:F119),0)</f>
        <v>224723</v>
      </c>
      <c r="D38" s="182">
        <f t="shared" si="1"/>
        <v>1.5</v>
      </c>
    </row>
    <row r="39" spans="1:4" x14ac:dyDescent="0.2">
      <c r="A39">
        <v>4000</v>
      </c>
      <c r="B39" s="185" t="s">
        <v>730</v>
      </c>
      <c r="C39" s="179">
        <f>ROUND('DOE25'!F170+'DOE25'!G170+'DOE25'!H170+'DOE25'!I170,0)</f>
        <v>521387</v>
      </c>
      <c r="D39" s="182">
        <f t="shared" si="1"/>
        <v>3.5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15111835.57</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Moultonborough</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2020-11-20T13:17:13Z</cp:lastPrinted>
  <dcterms:created xsi:type="dcterms:W3CDTF">1997-12-04T19:04:30Z</dcterms:created>
  <dcterms:modified xsi:type="dcterms:W3CDTF">2020-12-11T19:23:38Z</dcterms:modified>
</cp:coreProperties>
</file>