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210" yWindow="255" windowWidth="16350" windowHeight="66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C13" i="10" s="1"/>
  <c r="L282" i="1"/>
  <c r="L283" i="1"/>
  <c r="L284" i="1"/>
  <c r="L285" i="1"/>
  <c r="E121" i="2" s="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c r="G147" i="1"/>
  <c r="D85" i="2" s="1"/>
  <c r="H147" i="1"/>
  <c r="H170" i="1"/>
  <c r="I147" i="1"/>
  <c r="C11"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0" i="2"/>
  <c r="E123" i="2"/>
  <c r="E124" i="2"/>
  <c r="C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A40" i="12"/>
  <c r="I170" i="1"/>
  <c r="G339" i="1"/>
  <c r="G353" i="1" s="1"/>
  <c r="H140" i="1"/>
  <c r="H112" i="1" l="1"/>
  <c r="E112" i="2"/>
  <c r="F194" i="1"/>
  <c r="L402" i="1"/>
  <c r="C139" i="2" s="1"/>
  <c r="H477" i="1"/>
  <c r="H625" i="1" s="1"/>
  <c r="K339" i="1"/>
  <c r="K353" i="1" s="1"/>
  <c r="C91" i="2"/>
  <c r="D50" i="2"/>
  <c r="G553" i="1"/>
  <c r="F339" i="1"/>
  <c r="F353" i="1" s="1"/>
  <c r="J642" i="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E128" i="2" s="1"/>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0" i="1"/>
  <c r="D103" i="2"/>
  <c r="I140" i="1"/>
  <c r="A22" i="12"/>
  <c r="H649" i="1"/>
  <c r="J653" i="1"/>
  <c r="G572" i="1"/>
  <c r="I435" i="1"/>
  <c r="G435" i="1"/>
  <c r="I664" i="1"/>
  <c r="C141" i="2" l="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F673" i="1"/>
  <c r="C4" i="10" s="1"/>
  <c r="C51" i="2"/>
  <c r="G632" i="1"/>
  <c r="J632" i="1" s="1"/>
  <c r="G194" i="1"/>
  <c r="G629" i="1" s="1"/>
  <c r="J629" i="1" s="1"/>
  <c r="G627" i="1"/>
  <c r="J627" i="1" s="1"/>
  <c r="J52" i="1"/>
  <c r="H622" i="1" s="1"/>
  <c r="J622" i="1" s="1"/>
  <c r="C38" i="10"/>
  <c r="I661" i="1" l="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I668" i="1"/>
  <c r="H657"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<sst xmlns="http://schemas.openxmlformats.org/spreadsheetml/2006/main" count="5559" uniqueCount="1642">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</sst>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1289</v>
      </c>
      <c r="B2" s="21">
        <v>371</v>
      </c>
      <c r="C2" s="21">
        <v>371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SUM(I440)</f>
        <v>2180283.7799999998</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6873424.3300000001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213516.45</v>
      </c>
      <c r="H12" s="18"/>
      <c r="I12" s="18">
        <v>894669.07</v>
      </c>
      <c r="J12" s="67">
        <f>SUM(I442)</f>
        <v>41777.120000000003</v>
      </c>
      <c r="K12" s="24" t="s">
        <v>288</v>
      </c>
      <c r="L12" s="24" t="s">
        <v>288</v>
      </c>
      <c r="M12" s="8"/>
      <c r="N12" s="266"/>
    </row>
    <row r="13" spans="1:14" s="3" customFormat="1" ht="12.2" customHeight="1" x14ac:dyDescent="0.15">
      <c r="A13" s="1" t="s">
        <v>604</v>
      </c>
      <c r="B13" s="2" t="s">
        <v>289</v>
      </c>
      <c r="C13" s="6">
        <v>5</v>
      </c>
      <c r="D13" s="2" t="s">
        <v>428</v>
      </c>
      <c r="E13" s="6">
        <v>140</v>
      </c>
      <c r="F13" s="18"/>
      <c r="G13" s="18">
        <v>43386.09</v>
      </c>
      <c r="H13" s="18">
        <v>3647526.78</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v>253785.28</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256902.54</v>
      </c>
      <c r="H19" s="41">
        <f>SUM(H9:H18)</f>
        <v>3901312.0599999996</v>
      </c>
      <c r="I19" s="41">
        <f>SUM(I9:I18)</f>
        <v>894669.07</v>
      </c>
      <c r="J19" s="41">
        <f>SUM(J9:J18)</f>
        <v>9095485.2299999986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1436287.38</v>
      </c>
      <c r="I22" s="18"/>
      <c r="J22" s="67">
        <f>SUM(I449)</f>
        <v>170155.58</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v>5003.75</v>
      </c>
      <c r="H24" s="18">
        <v>410857.8</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2600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5003.75</v>
      </c>
      <c r="H32" s="41">
        <f>SUM(H22:H31)</f>
        <v>1849745.18</v>
      </c>
      <c r="I32" s="41">
        <f>SUM(I22:I31)</f>
        <v>0</v>
      </c>
      <c r="J32" s="41">
        <f>SUM(J22:J31)</f>
        <v>170155.58</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6433500.3300000001</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377071.06</v>
      </c>
      <c r="K39" s="24" t="s">
        <v>288</v>
      </c>
      <c r="L39" s="24" t="s">
        <v>288</v>
      </c>
      <c r="M39" s="8"/>
      <c r="N39" s="266"/>
    </row>
    <row r="40" spans="1:14" s="3" customFormat="1" ht="12.2" customHeight="1" x14ac:dyDescent="0.15">
      <c r="A40" s="1" t="s">
        <v>860</v>
      </c>
      <c r="B40" s="6">
        <v>1</v>
      </c>
      <c r="C40" s="6">
        <v>27</v>
      </c>
      <c r="D40" s="2"/>
      <c r="E40" s="6"/>
      <c r="F40" s="24" t="s">
        <v>288</v>
      </c>
      <c r="G40" s="18">
        <v>251898.79000000004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1437124.8299999998</v>
      </c>
      <c r="I48" s="18">
        <v>-511529.14999999991</v>
      </c>
      <c r="J48" s="13">
        <f>SUM(I460)</f>
        <v>2114758.2599999998</v>
      </c>
      <c r="K48" s="24" t="s">
        <v>288</v>
      </c>
      <c r="L48" s="24" t="s">
        <v>288</v>
      </c>
      <c r="M48" s="8"/>
      <c r="N48" s="266"/>
    </row>
    <row r="49" spans="1:14" s="3" customFormat="1" ht="12.2" customHeight="1" x14ac:dyDescent="0.15">
      <c r="A49" s="1" t="s">
        <v>859</v>
      </c>
      <c r="B49" s="2" t="s">
        <v>289</v>
      </c>
      <c r="C49" s="6">
        <v>34</v>
      </c>
      <c r="D49" s="2"/>
      <c r="E49" s="6">
        <v>753</v>
      </c>
      <c r="F49" s="18"/>
      <c r="G49" s="18"/>
      <c r="H49" s="18">
        <v>614442.04999999993</v>
      </c>
      <c r="I49" s="18">
        <v>1406198.22</v>
      </c>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251898.79000000004</v>
      </c>
      <c r="H51" s="41">
        <f>SUM(H35:H50)</f>
        <v>2051566.88</v>
      </c>
      <c r="I51" s="41">
        <f>SUM(I35:I50)</f>
        <v>894669.07000000007</v>
      </c>
      <c r="J51" s="41">
        <f>SUM(J35:J50)</f>
        <v>8925329.6499999985</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256902.54000000004</v>
      </c>
      <c r="H52" s="41">
        <f>H51+H32</f>
        <v>3901312.0599999996</v>
      </c>
      <c r="I52" s="41">
        <f>I51+I32</f>
        <v>894669.07000000007</v>
      </c>
      <c r="J52" s="41">
        <f>J51+J32</f>
        <v>9095485.2299999986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101661160.66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101661160.66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8424.89</v>
      </c>
      <c r="G63" s="24" t="s">
        <v>288</v>
      </c>
      <c r="H63" s="18">
        <v>161555.29999999999</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v>20343.5</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v>58030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v>43836.160000000003</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v>402240.04</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v>96126.62</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8424.89</v>
      </c>
      <c r="G79" s="45" t="s">
        <v>288</v>
      </c>
      <c r="H79" s="41">
        <f>SUM(H63:H78)</f>
        <v>782131.62</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81869.19</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v>6631.68</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81869.19</v>
      </c>
      <c r="G94" s="45" t="s">
        <v>288</v>
      </c>
      <c r="H94" s="41">
        <f>SUM(H83:H93)</f>
        <v>6631.68</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v>6907</v>
      </c>
      <c r="H96" s="18"/>
      <c r="I96" s="18"/>
      <c r="J96" s="18">
        <v>528347.31000000006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1372010.73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241705.91999999998</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v>120872.3</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v>240460.24</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20036.009999999998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20036.009999999998</v>
      </c>
      <c r="G111" s="41">
        <f>SUM(G96:G110)</f>
        <v>1378917.73</v>
      </c>
      <c r="H111" s="41">
        <f>SUM(H96:H110)</f>
        <v>362578.22</v>
      </c>
      <c r="I111" s="41">
        <f>SUM(I96:I110)</f>
        <v>0</v>
      </c>
      <c r="J111" s="41">
        <f>SUM(J96:J110)</f>
        <v>768807.55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101771490.75</v>
      </c>
      <c r="G112" s="41">
        <f>G60+G111</f>
        <v>1378917.73</v>
      </c>
      <c r="H112" s="41">
        <f>H60+H79+H94+H111</f>
        <v>1151341.52</v>
      </c>
      <c r="I112" s="41">
        <f>I60+I111</f>
        <v>0</v>
      </c>
      <c r="J112" s="41">
        <f>J60+J111</f>
        <v>768807.55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37832046.399999999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21073789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53083.78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58958919.18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2280048.96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1199645.06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224482.85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1832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11584.16</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v>125615.16</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80485.91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168648.82</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3706008.87</v>
      </c>
      <c r="G136" s="41">
        <f>SUM(G123:G135)</f>
        <v>80485.91</v>
      </c>
      <c r="H136" s="41">
        <f>SUM(H123:H135)</f>
        <v>305848.14</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62664928.049999997</v>
      </c>
      <c r="G140" s="41">
        <f>G121+SUM(G136:G137)</f>
        <v>80485.91</v>
      </c>
      <c r="H140" s="41">
        <f>H121+SUM(H136:H139)</f>
        <v>305848.14</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v>34980.99</v>
      </c>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4377636.62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1649135.91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432112.06</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2230282.73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3557976.35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203649.82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33558</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203649.82</v>
      </c>
      <c r="G163" s="41">
        <f>SUM(G150:G162)</f>
        <v>2230282.73</v>
      </c>
      <c r="H163" s="41">
        <f>SUM(H150:H162)</f>
        <v>10085399.93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203649.82</v>
      </c>
      <c r="G170" s="41">
        <f>G147+G163+SUM(G164:G169)</f>
        <v>2230282.73</v>
      </c>
      <c r="H170" s="41">
        <f>H147+H163+SUM(H164:H169)</f>
        <v>10085399.93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v>380000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380000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v>0</v>
      </c>
      <c r="I180" s="18">
        <v>2000000</v>
      </c>
      <c r="J180" s="18">
        <v>140000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2000000</v>
      </c>
      <c r="J184" s="41">
        <f>SUM(J180:J183)</f>
        <v>140000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v>140925</v>
      </c>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250000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250000</v>
      </c>
      <c r="G189" s="41">
        <f>SUM(G186:G188)</f>
        <v>0</v>
      </c>
      <c r="H189" s="41">
        <f>SUM(H186:H188)</f>
        <v>140925</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250000</v>
      </c>
      <c r="G193" s="41">
        <f>G184+SUM(G189:G192)</f>
        <v>0</v>
      </c>
      <c r="H193" s="41">
        <f>+H184+SUM(H189:H192)</f>
        <v>140925</v>
      </c>
      <c r="I193" s="41">
        <f>I178+I184+SUM(I189:I192)</f>
        <v>2380000</v>
      </c>
      <c r="J193" s="41">
        <f>J184</f>
        <v>140000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164890068.62</v>
      </c>
      <c r="G194" s="47">
        <f>G112+G140+G170+G193</f>
        <v>3689686.37</v>
      </c>
      <c r="H194" s="47">
        <f>H112+H140+H170+H193</f>
        <v>11683514.59</v>
      </c>
      <c r="I194" s="47">
        <f>I112+I140+I170+I193</f>
        <v>2380000</v>
      </c>
      <c r="J194" s="47">
        <f>J112+J140+J193</f>
        <v>908807.55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19528164.68152</v>
      </c>
      <c r="G198" s="18">
        <v>9033558.7876199987</v>
      </c>
      <c r="H198" s="18">
        <v>190423.57407999999</v>
      </c>
      <c r="I198" s="18">
        <v>234819.94999999998</v>
      </c>
      <c r="J198" s="18">
        <v>90927.169999999984</v>
      </c>
      <c r="K198" s="18">
        <v>0</v>
      </c>
      <c r="L198" s="19">
        <f>SUM(F198:K198)</f>
        <v>29077894.163220003</v>
      </c>
      <c r="M198" s="8"/>
      <c r="N198" s="266"/>
    </row>
    <row r="199" spans="1:14" s="3" customFormat="1" ht="12.2" customHeight="1" x14ac:dyDescent="0.15">
      <c r="A199" s="1" t="s">
        <v>439</v>
      </c>
      <c r="B199" s="2" t="s">
        <v>341</v>
      </c>
      <c r="C199" s="2" t="s">
        <v>291</v>
      </c>
      <c r="D199" s="2" t="s">
        <v>431</v>
      </c>
      <c r="E199" s="6">
        <v>1200</v>
      </c>
      <c r="F199" s="18">
        <v>9372118.2467915006</v>
      </c>
      <c r="G199" s="18">
        <v>3408046.3819714994</v>
      </c>
      <c r="H199" s="18">
        <v>3639927.0339234001</v>
      </c>
      <c r="I199" s="18">
        <v>53930.421347199997</v>
      </c>
      <c r="J199" s="18">
        <v>219.98</v>
      </c>
      <c r="K199" s="18">
        <v>0</v>
      </c>
      <c r="L199" s="19">
        <f>SUM(F199:K199)</f>
        <v>16474242.064033601</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83534.486520000006</v>
      </c>
      <c r="G201" s="18">
        <v>21072.17382</v>
      </c>
      <c r="H201" s="18">
        <v>28587.4257</v>
      </c>
      <c r="I201" s="18">
        <v>1294.3175599999997</v>
      </c>
      <c r="J201" s="18">
        <v>4574.8470000000007</v>
      </c>
      <c r="K201" s="18">
        <v>0</v>
      </c>
      <c r="L201" s="19">
        <f>SUM(F201:K201)</f>
        <v>139063.2506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3547308.4778199997</v>
      </c>
      <c r="G203" s="18">
        <v>1738397.0173600002</v>
      </c>
      <c r="H203" s="18">
        <v>512484.63044999994</v>
      </c>
      <c r="I203" s="18">
        <v>16354.936029999999</v>
      </c>
      <c r="J203" s="18">
        <v>5024.8843799999995</v>
      </c>
      <c r="K203" s="18">
        <v>0</v>
      </c>
      <c r="L203" s="19">
        <f t="shared" ref="L203:L209" si="0">SUM(F203:K203)</f>
        <v>5819569.9460399998</v>
      </c>
      <c r="M203" s="8"/>
      <c r="N203" s="266"/>
    </row>
    <row r="204" spans="1:14" s="3" customFormat="1" ht="12.2" customHeight="1" x14ac:dyDescent="0.15">
      <c r="A204" s="1" t="s">
        <v>443</v>
      </c>
      <c r="B204" s="2" t="s">
        <v>341</v>
      </c>
      <c r="C204" s="2" t="s">
        <v>295</v>
      </c>
      <c r="D204" s="2" t="s">
        <v>431</v>
      </c>
      <c r="E204" s="6">
        <v>2200</v>
      </c>
      <c r="F204" s="18">
        <v>1373086.8676100001</v>
      </c>
      <c r="G204" s="18">
        <v>645861.94648000004</v>
      </c>
      <c r="H204" s="18">
        <v>127948.39134000002</v>
      </c>
      <c r="I204" s="18">
        <v>582034.45781000005</v>
      </c>
      <c r="J204" s="18">
        <v>602199.46392000001</v>
      </c>
      <c r="K204" s="18">
        <v>0</v>
      </c>
      <c r="L204" s="19">
        <f t="shared" si="0"/>
        <v>3331131.1271600001</v>
      </c>
      <c r="M204" s="8"/>
      <c r="N204" s="266"/>
    </row>
    <row r="205" spans="1:14" s="3" customFormat="1" ht="12.2" customHeight="1" x14ac:dyDescent="0.15">
      <c r="A205" s="1" t="s">
        <v>444</v>
      </c>
      <c r="B205" s="2" t="s">
        <v>341</v>
      </c>
      <c r="C205" s="2" t="s">
        <v>296</v>
      </c>
      <c r="D205" s="2" t="s">
        <v>431</v>
      </c>
      <c r="E205" s="6">
        <v>2300</v>
      </c>
      <c r="F205" s="18">
        <v>892962.54222000006</v>
      </c>
      <c r="G205" s="18">
        <v>333636.92355000001</v>
      </c>
      <c r="H205" s="18">
        <v>251895.64659000002</v>
      </c>
      <c r="I205" s="18">
        <v>16673.185949999999</v>
      </c>
      <c r="J205" s="18">
        <v>679.5</v>
      </c>
      <c r="K205" s="18">
        <v>45592.801080000005</v>
      </c>
      <c r="L205" s="19">
        <f t="shared" si="0"/>
        <v>1541440.5993900001</v>
      </c>
      <c r="M205" s="8"/>
      <c r="N205" s="266"/>
    </row>
    <row r="206" spans="1:14" s="3" customFormat="1" ht="12.2" customHeight="1" x14ac:dyDescent="0.15">
      <c r="A206" s="1" t="s">
        <v>445</v>
      </c>
      <c r="B206" s="2" t="s">
        <v>341</v>
      </c>
      <c r="C206" s="2" t="s">
        <v>297</v>
      </c>
      <c r="D206" s="2" t="s">
        <v>431</v>
      </c>
      <c r="E206" s="6">
        <v>2400</v>
      </c>
      <c r="F206" s="18">
        <v>2816622.81433</v>
      </c>
      <c r="G206" s="18">
        <v>1389762.7780599999</v>
      </c>
      <c r="H206" s="18">
        <v>10576.41</v>
      </c>
      <c r="I206" s="18">
        <v>12585.64</v>
      </c>
      <c r="J206" s="18">
        <v>578</v>
      </c>
      <c r="K206" s="18">
        <v>0</v>
      </c>
      <c r="L206" s="19">
        <f t="shared" si="0"/>
        <v>4230125.6423899997</v>
      </c>
      <c r="M206" s="8"/>
      <c r="N206" s="266"/>
    </row>
    <row r="207" spans="1:14" s="3" customFormat="1" ht="12.2" customHeight="1" x14ac:dyDescent="0.15">
      <c r="A207" s="1" t="s">
        <v>446</v>
      </c>
      <c r="B207" s="2" t="s">
        <v>341</v>
      </c>
      <c r="C207" s="2" t="s">
        <v>298</v>
      </c>
      <c r="D207" s="2" t="s">
        <v>431</v>
      </c>
      <c r="E207" s="6">
        <v>2500</v>
      </c>
      <c r="F207" s="18">
        <v>513882.27135000011</v>
      </c>
      <c r="G207" s="18">
        <v>120967.70664000002</v>
      </c>
      <c r="H207" s="18">
        <v>9891.7080000000005</v>
      </c>
      <c r="I207" s="18">
        <v>0</v>
      </c>
      <c r="J207" s="18">
        <v>0</v>
      </c>
      <c r="K207" s="18">
        <v>0</v>
      </c>
      <c r="L207" s="19">
        <f t="shared" si="0"/>
        <v>644741.68599000014</v>
      </c>
      <c r="M207" s="8"/>
      <c r="N207" s="266"/>
    </row>
    <row r="208" spans="1:14" s="3" customFormat="1" ht="12.2" customHeight="1" x14ac:dyDescent="0.15">
      <c r="A208" s="1" t="s">
        <v>447</v>
      </c>
      <c r="B208" s="2" t="s">
        <v>341</v>
      </c>
      <c r="C208" s="2" t="s">
        <v>299</v>
      </c>
      <c r="D208" s="2" t="s">
        <v>431</v>
      </c>
      <c r="E208" s="6">
        <v>2600</v>
      </c>
      <c r="F208" s="18">
        <v>2289474.3481799997</v>
      </c>
      <c r="G208" s="18">
        <v>1219250.3604899999</v>
      </c>
      <c r="H208" s="18">
        <v>2444945.1208600001</v>
      </c>
      <c r="I208" s="18">
        <v>340882.41392999998</v>
      </c>
      <c r="J208" s="18">
        <v>26250.45306</v>
      </c>
      <c r="K208" s="18">
        <v>-54755.151900000004</v>
      </c>
      <c r="L208" s="19">
        <f t="shared" si="0"/>
        <v>6266047.5446199998</v>
      </c>
      <c r="M208" s="8"/>
      <c r="N208" s="266"/>
    </row>
    <row r="209" spans="1:14" s="3" customFormat="1" ht="12.2" customHeight="1" x14ac:dyDescent="0.15">
      <c r="A209" s="1" t="s">
        <v>448</v>
      </c>
      <c r="B209" s="2" t="s">
        <v>341</v>
      </c>
      <c r="C209" s="2" t="s">
        <v>300</v>
      </c>
      <c r="D209" s="2" t="s">
        <v>431</v>
      </c>
      <c r="E209" s="6">
        <v>2700</v>
      </c>
      <c r="F209" s="18">
        <v>39414.904859999995</v>
      </c>
      <c r="G209" s="18">
        <v>18207.623790000001</v>
      </c>
      <c r="H209" s="18">
        <v>3042023.7108899998</v>
      </c>
      <c r="I209" s="18">
        <v>0</v>
      </c>
      <c r="J209" s="18">
        <v>0</v>
      </c>
      <c r="K209" s="18">
        <v>0</v>
      </c>
      <c r="L209" s="19">
        <f t="shared" si="0"/>
        <v>3099646.2395399995</v>
      </c>
      <c r="M209" s="8"/>
      <c r="N209" s="266"/>
    </row>
    <row r="210" spans="1:14" s="3" customFormat="1" ht="12.2" customHeight="1" x14ac:dyDescent="0.15">
      <c r="A210" s="1" t="s">
        <v>449</v>
      </c>
      <c r="B210" s="2" t="s">
        <v>341</v>
      </c>
      <c r="C210" s="2" t="s">
        <v>343</v>
      </c>
      <c r="D210" s="2" t="s">
        <v>431</v>
      </c>
      <c r="E210" s="6">
        <v>2800</v>
      </c>
      <c r="F210" s="18">
        <v>114870.6528</v>
      </c>
      <c r="G210" s="18">
        <v>47292.574859999993</v>
      </c>
      <c r="H210" s="18">
        <v>102429.20259</v>
      </c>
      <c r="I210" s="18">
        <v>0</v>
      </c>
      <c r="J210" s="18">
        <v>0</v>
      </c>
      <c r="K210" s="18">
        <v>0</v>
      </c>
      <c r="L210" s="19">
        <f>SUM(F210:K210)</f>
        <v>264592.43024999998</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40571440.29400149</v>
      </c>
      <c r="G212" s="41">
        <f t="shared" si="1"/>
        <v>17976054.274641495</v>
      </c>
      <c r="H212" s="41">
        <f t="shared" si="1"/>
        <v>10361132.8544234</v>
      </c>
      <c r="I212" s="41">
        <f t="shared" si="1"/>
        <v>1258575.3226272</v>
      </c>
      <c r="J212" s="41">
        <f t="shared" si="1"/>
        <v>730454.2983599999</v>
      </c>
      <c r="K212" s="41">
        <f t="shared" si="1"/>
        <v>-9162.3508199999997</v>
      </c>
      <c r="L212" s="41">
        <f t="shared" si="1"/>
        <v>70888494.693233594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10056842.42616</v>
      </c>
      <c r="G216" s="18">
        <v>4772629.98496</v>
      </c>
      <c r="H216" s="18">
        <v>104226.60863999999</v>
      </c>
      <c r="I216" s="18">
        <v>123705.18</v>
      </c>
      <c r="J216" s="18">
        <v>115420.85999999999</v>
      </c>
      <c r="K216" s="18">
        <v>0</v>
      </c>
      <c r="L216" s="19">
        <f>SUM(F216:K216)</f>
        <v>15172825.059760001</v>
      </c>
      <c r="M216" s="8"/>
      <c r="N216" s="266"/>
    </row>
    <row r="217" spans="1:14" s="3" customFormat="1" ht="12.2" customHeight="1" x14ac:dyDescent="0.15">
      <c r="A217" s="1" t="s">
        <v>439</v>
      </c>
      <c r="B217" s="2" t="s">
        <v>346</v>
      </c>
      <c r="C217" s="2" t="s">
        <v>291</v>
      </c>
      <c r="D217" s="2" t="s">
        <v>431</v>
      </c>
      <c r="E217" s="6">
        <v>1200</v>
      </c>
      <c r="F217" s="18">
        <v>3430693.7285119994</v>
      </c>
      <c r="G217" s="18">
        <v>1328154.855552</v>
      </c>
      <c r="H217" s="18">
        <v>1627658.7985151997</v>
      </c>
      <c r="I217" s="18">
        <v>25634.661001599998</v>
      </c>
      <c r="J217" s="18">
        <v>0</v>
      </c>
      <c r="K217" s="18">
        <v>0</v>
      </c>
      <c r="L217" s="19">
        <f>SUM(F217:K217)</f>
        <v>6412142.0435807994</v>
      </c>
      <c r="M217" s="8"/>
      <c r="N217" s="266"/>
    </row>
    <row r="218" spans="1:14" s="3" customFormat="1" ht="12.2" customHeight="1" x14ac:dyDescent="0.15">
      <c r="A218" s="1" t="s">
        <v>440</v>
      </c>
      <c r="B218" s="2" t="s">
        <v>346</v>
      </c>
      <c r="C218" s="2" t="s">
        <v>292</v>
      </c>
      <c r="D218" s="2" t="s">
        <v>431</v>
      </c>
      <c r="E218" s="6">
        <v>1300</v>
      </c>
      <c r="F218" s="18">
        <v>691157.32000000007</v>
      </c>
      <c r="G218" s="18">
        <v>366874.51999999996</v>
      </c>
      <c r="H218" s="18">
        <v>259.95</v>
      </c>
      <c r="I218" s="18">
        <v>31290.71</v>
      </c>
      <c r="J218" s="18">
        <v>0</v>
      </c>
      <c r="K218" s="18">
        <v>0</v>
      </c>
      <c r="L218" s="19">
        <f>SUM(F218:K218)</f>
        <v>1089582.5</v>
      </c>
      <c r="M218" s="8"/>
      <c r="N218" s="266"/>
    </row>
    <row r="219" spans="1:14" s="3" customFormat="1" ht="12.2" customHeight="1" x14ac:dyDescent="0.15">
      <c r="A219" s="1" t="s">
        <v>441</v>
      </c>
      <c r="B219" s="2" t="s">
        <v>346</v>
      </c>
      <c r="C219" s="2" t="s">
        <v>293</v>
      </c>
      <c r="D219" s="2" t="s">
        <v>431</v>
      </c>
      <c r="E219" s="6">
        <v>1400</v>
      </c>
      <c r="F219" s="18">
        <v>113230.64616</v>
      </c>
      <c r="G219" s="18">
        <v>12463.244560000001</v>
      </c>
      <c r="H219" s="18">
        <v>54470.505599999997</v>
      </c>
      <c r="I219" s="18">
        <v>581.17247999999995</v>
      </c>
      <c r="J219" s="18">
        <v>2262.1759999999999</v>
      </c>
      <c r="K219" s="18">
        <v>0</v>
      </c>
      <c r="L219" s="19">
        <f>SUM(F219:K219)</f>
        <v>183007.74480000001</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2130847.2865599995</v>
      </c>
      <c r="G221" s="18">
        <v>1043664.3408800001</v>
      </c>
      <c r="H221" s="18">
        <v>253654.03359999997</v>
      </c>
      <c r="I221" s="18">
        <v>5329.3442400000004</v>
      </c>
      <c r="J221" s="18">
        <v>2484.7110400000001</v>
      </c>
      <c r="K221" s="18">
        <v>0</v>
      </c>
      <c r="L221" s="19">
        <f t="shared" ref="L221:L227" si="2">SUM(F221:K221)</f>
        <v>3435979.7163199997</v>
      </c>
      <c r="M221" s="8"/>
      <c r="N221" s="266"/>
    </row>
    <row r="222" spans="1:14" s="3" customFormat="1" ht="12.2" customHeight="1" x14ac:dyDescent="0.15">
      <c r="A222" s="1" t="s">
        <v>443</v>
      </c>
      <c r="B222" s="2" t="s">
        <v>346</v>
      </c>
      <c r="C222" s="2" t="s">
        <v>295</v>
      </c>
      <c r="D222" s="2" t="s">
        <v>431</v>
      </c>
      <c r="E222" s="6">
        <v>2200</v>
      </c>
      <c r="F222" s="18">
        <v>417649.62287999998</v>
      </c>
      <c r="G222" s="18">
        <v>204647.53784</v>
      </c>
      <c r="H222" s="18">
        <v>63268.078720000005</v>
      </c>
      <c r="I222" s="18">
        <v>286202.45448000001</v>
      </c>
      <c r="J222" s="18">
        <v>297776.33536000003</v>
      </c>
      <c r="K222" s="18">
        <v>0</v>
      </c>
      <c r="L222" s="19">
        <f t="shared" si="2"/>
        <v>1269544.0292799999</v>
      </c>
      <c r="M222" s="8"/>
      <c r="N222" s="266"/>
    </row>
    <row r="223" spans="1:14" s="3" customFormat="1" ht="12.2" customHeight="1" x14ac:dyDescent="0.15">
      <c r="A223" s="1" t="s">
        <v>444</v>
      </c>
      <c r="B223" s="2" t="s">
        <v>346</v>
      </c>
      <c r="C223" s="2" t="s">
        <v>296</v>
      </c>
      <c r="D223" s="2" t="s">
        <v>431</v>
      </c>
      <c r="E223" s="6">
        <v>2300</v>
      </c>
      <c r="F223" s="18">
        <v>441553.2217600001</v>
      </c>
      <c r="G223" s="18">
        <v>164977.19839999999</v>
      </c>
      <c r="H223" s="18">
        <v>124557.67072000002</v>
      </c>
      <c r="I223" s="18">
        <v>8244.5776000000005</v>
      </c>
      <c r="J223" s="18">
        <v>336</v>
      </c>
      <c r="K223" s="18">
        <v>22544.784640000002</v>
      </c>
      <c r="L223" s="19">
        <f t="shared" si="2"/>
        <v>762213.45312000008</v>
      </c>
      <c r="M223" s="8"/>
      <c r="N223" s="266"/>
    </row>
    <row r="224" spans="1:14" s="3" customFormat="1" ht="12.2" customHeight="1" x14ac:dyDescent="0.15">
      <c r="A224" s="1" t="s">
        <v>445</v>
      </c>
      <c r="B224" s="2" t="s">
        <v>346</v>
      </c>
      <c r="C224" s="2" t="s">
        <v>297</v>
      </c>
      <c r="D224" s="2" t="s">
        <v>431</v>
      </c>
      <c r="E224" s="6">
        <v>2400</v>
      </c>
      <c r="F224" s="18">
        <v>891574.25063999998</v>
      </c>
      <c r="G224" s="18">
        <v>352575.18648000003</v>
      </c>
      <c r="H224" s="18">
        <v>1067.52</v>
      </c>
      <c r="I224" s="18">
        <v>5449.7199999999993</v>
      </c>
      <c r="J224" s="18">
        <v>0</v>
      </c>
      <c r="K224" s="18">
        <v>0</v>
      </c>
      <c r="L224" s="19">
        <f t="shared" si="2"/>
        <v>1250666.6771199999</v>
      </c>
      <c r="M224" s="8"/>
      <c r="N224" s="266"/>
    </row>
    <row r="225" spans="1:14" s="3" customFormat="1" ht="12.2" customHeight="1" x14ac:dyDescent="0.15">
      <c r="A225" s="1" t="s">
        <v>446</v>
      </c>
      <c r="B225" s="2" t="s">
        <v>346</v>
      </c>
      <c r="C225" s="2" t="s">
        <v>298</v>
      </c>
      <c r="D225" s="2" t="s">
        <v>431</v>
      </c>
      <c r="E225" s="6">
        <v>2500</v>
      </c>
      <c r="F225" s="18">
        <v>254105.14080000002</v>
      </c>
      <c r="G225" s="18">
        <v>59816.261120000003</v>
      </c>
      <c r="H225" s="18">
        <v>4891.2640000000001</v>
      </c>
      <c r="I225" s="18">
        <v>0</v>
      </c>
      <c r="J225" s="18">
        <v>0</v>
      </c>
      <c r="K225" s="18">
        <v>0</v>
      </c>
      <c r="L225" s="19">
        <f t="shared" si="2"/>
        <v>318812.66592000006</v>
      </c>
      <c r="M225" s="8"/>
      <c r="N225" s="266"/>
    </row>
    <row r="226" spans="1:14" s="3" customFormat="1" ht="12.2" customHeight="1" x14ac:dyDescent="0.15">
      <c r="A226" s="1" t="s">
        <v>447</v>
      </c>
      <c r="B226" s="2" t="s">
        <v>346</v>
      </c>
      <c r="C226" s="2" t="s">
        <v>299</v>
      </c>
      <c r="D226" s="2" t="s">
        <v>431</v>
      </c>
      <c r="E226" s="6">
        <v>2600</v>
      </c>
      <c r="F226" s="18">
        <v>1203506.3614399999</v>
      </c>
      <c r="G226" s="18">
        <v>613322.51191999996</v>
      </c>
      <c r="H226" s="18">
        <v>1208766.8588800002</v>
      </c>
      <c r="I226" s="18">
        <v>168559.95744000003</v>
      </c>
      <c r="J226" s="18">
        <v>12980.35648</v>
      </c>
      <c r="K226" s="18">
        <v>-27075.395200000006</v>
      </c>
      <c r="L226" s="19">
        <f t="shared" si="2"/>
        <v>3180060.6509599998</v>
      </c>
      <c r="M226" s="8"/>
      <c r="N226" s="266"/>
    </row>
    <row r="227" spans="1:14" s="3" customFormat="1" ht="12.2" customHeight="1" x14ac:dyDescent="0.15">
      <c r="A227" s="1" t="s">
        <v>448</v>
      </c>
      <c r="B227" s="2" t="s">
        <v>346</v>
      </c>
      <c r="C227" s="2" t="s">
        <v>300</v>
      </c>
      <c r="D227" s="2" t="s">
        <v>431</v>
      </c>
      <c r="E227" s="6">
        <v>2700</v>
      </c>
      <c r="F227" s="18">
        <v>19489.93088</v>
      </c>
      <c r="G227" s="18">
        <v>9003.3283200000005</v>
      </c>
      <c r="H227" s="18">
        <v>1504223.64512</v>
      </c>
      <c r="I227" s="18">
        <v>0</v>
      </c>
      <c r="J227" s="18">
        <v>0</v>
      </c>
      <c r="K227" s="18">
        <v>0</v>
      </c>
      <c r="L227" s="19">
        <f t="shared" si="2"/>
        <v>1532716.90432</v>
      </c>
      <c r="M227" s="8"/>
      <c r="N227" s="266"/>
    </row>
    <row r="228" spans="1:14" s="3" customFormat="1" ht="12.2" customHeight="1" x14ac:dyDescent="0.15">
      <c r="A228" s="1" t="s">
        <v>449</v>
      </c>
      <c r="B228" s="2" t="s">
        <v>346</v>
      </c>
      <c r="C228" s="2" t="s">
        <v>343</v>
      </c>
      <c r="D228" s="2" t="s">
        <v>431</v>
      </c>
      <c r="E228" s="6">
        <v>2800</v>
      </c>
      <c r="F228" s="18">
        <v>56801.38240000001</v>
      </c>
      <c r="G228" s="18">
        <v>23385.29088</v>
      </c>
      <c r="H228" s="18">
        <v>50649.318720000003</v>
      </c>
      <c r="I228" s="18">
        <v>0</v>
      </c>
      <c r="J228" s="18">
        <v>0</v>
      </c>
      <c r="K228" s="18">
        <v>0</v>
      </c>
      <c r="L228" s="19">
        <f>SUM(F228:K228)</f>
        <v>130835.99200000003</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19707451.318191998</v>
      </c>
      <c r="G230" s="41">
        <f>SUM(G216:G229)</f>
        <v>8951514.2609119993</v>
      </c>
      <c r="H230" s="41">
        <f>SUM(H216:H229)</f>
        <v>4997694.2525151996</v>
      </c>
      <c r="I230" s="41">
        <f>SUM(I216:I229)</f>
        <v>654997.77724159998</v>
      </c>
      <c r="J230" s="41">
        <f>SUM(J216:J229)</f>
        <v>431260.43888000003</v>
      </c>
      <c r="K230" s="41">
        <f t="shared" si="3"/>
        <v>-4530.6105600000046</v>
      </c>
      <c r="L230" s="41">
        <f t="shared" si="3"/>
        <v>34738387.437180802</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11465009.142320001</v>
      </c>
      <c r="G234" s="18">
        <v>5509051.1474200003</v>
      </c>
      <c r="H234" s="18">
        <v>231892.25728000002</v>
      </c>
      <c r="I234" s="18">
        <v>160582.99</v>
      </c>
      <c r="J234" s="18">
        <v>97389.6</v>
      </c>
      <c r="K234" s="18">
        <v>0</v>
      </c>
      <c r="L234" s="19">
        <f>SUM(F234:K234)</f>
        <v>17463925.137020003</v>
      </c>
      <c r="M234" s="8"/>
      <c r="N234" s="266"/>
    </row>
    <row r="235" spans="1:14" s="3" customFormat="1" ht="12.2" customHeight="1" x14ac:dyDescent="0.15">
      <c r="A235" s="1" t="s">
        <v>439</v>
      </c>
      <c r="B235" s="2" t="s">
        <v>350</v>
      </c>
      <c r="C235" s="2" t="s">
        <v>291</v>
      </c>
      <c r="D235" s="2" t="s">
        <v>431</v>
      </c>
      <c r="E235" s="6">
        <v>1200</v>
      </c>
      <c r="F235" s="18">
        <v>3206099.9546964997</v>
      </c>
      <c r="G235" s="18">
        <v>1364099.2224765001</v>
      </c>
      <c r="H235" s="18">
        <v>1681094.1475613997</v>
      </c>
      <c r="I235" s="18">
        <v>23305.557651200001</v>
      </c>
      <c r="J235" s="18">
        <v>0</v>
      </c>
      <c r="K235" s="18">
        <v>0</v>
      </c>
      <c r="L235" s="19">
        <f>SUM(F235:K235)</f>
        <v>6274598.8823855994</v>
      </c>
      <c r="M235" s="8"/>
      <c r="N235" s="266"/>
    </row>
    <row r="236" spans="1:14" s="3" customFormat="1" ht="12.2" customHeight="1" x14ac:dyDescent="0.15">
      <c r="A236" s="1" t="s">
        <v>440</v>
      </c>
      <c r="B236" s="2" t="s">
        <v>350</v>
      </c>
      <c r="C236" s="2" t="s">
        <v>292</v>
      </c>
      <c r="D236" s="2" t="s">
        <v>431</v>
      </c>
      <c r="E236" s="6">
        <v>1300</v>
      </c>
      <c r="F236" s="18">
        <v>2740163.22</v>
      </c>
      <c r="G236" s="18">
        <v>1279178.4899999998</v>
      </c>
      <c r="H236" s="18">
        <v>31936.749999999996</v>
      </c>
      <c r="I236" s="18">
        <v>138213.04</v>
      </c>
      <c r="J236" s="18">
        <v>8228.2199999999993</v>
      </c>
      <c r="K236" s="18">
        <v>0</v>
      </c>
      <c r="L236" s="19">
        <f>SUM(F236:K236)</f>
        <v>4197719.72</v>
      </c>
      <c r="M236" s="8"/>
      <c r="N236" s="266"/>
    </row>
    <row r="237" spans="1:14" s="3" customFormat="1" ht="12.2" customHeight="1" x14ac:dyDescent="0.15">
      <c r="A237" s="1" t="s">
        <v>441</v>
      </c>
      <c r="B237" s="2" t="s">
        <v>350</v>
      </c>
      <c r="C237" s="2" t="s">
        <v>293</v>
      </c>
      <c r="D237" s="2" t="s">
        <v>431</v>
      </c>
      <c r="E237" s="6">
        <v>1400</v>
      </c>
      <c r="F237" s="18">
        <v>444715.30732000002</v>
      </c>
      <c r="G237" s="18">
        <v>30376.81162</v>
      </c>
      <c r="H237" s="18">
        <v>381947.88869999989</v>
      </c>
      <c r="I237" s="18">
        <v>15837.059959999999</v>
      </c>
      <c r="J237" s="18">
        <v>59078.326999999997</v>
      </c>
      <c r="K237" s="18">
        <v>-174736.72</v>
      </c>
      <c r="L237" s="19">
        <f>SUM(F237:K237)</f>
        <v>757218.67460000003</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3410921.8056199998</v>
      </c>
      <c r="G239" s="18">
        <v>1604220.1717600001</v>
      </c>
      <c r="H239" s="18">
        <v>366133.98595</v>
      </c>
      <c r="I239" s="18">
        <v>7655.6597299999994</v>
      </c>
      <c r="J239" s="18">
        <v>3582.8645799999995</v>
      </c>
      <c r="K239" s="18">
        <v>0</v>
      </c>
      <c r="L239" s="19">
        <f t="shared" ref="L239:L245" si="4">SUM(F239:K239)</f>
        <v>5392514.4876399999</v>
      </c>
      <c r="M239" s="8"/>
      <c r="N239" s="266"/>
    </row>
    <row r="240" spans="1:14" s="3" customFormat="1" ht="12.2" customHeight="1" x14ac:dyDescent="0.15">
      <c r="A240" s="1" t="s">
        <v>443</v>
      </c>
      <c r="B240" s="2" t="s">
        <v>350</v>
      </c>
      <c r="C240" s="2" t="s">
        <v>295</v>
      </c>
      <c r="D240" s="2" t="s">
        <v>431</v>
      </c>
      <c r="E240" s="6">
        <v>2200</v>
      </c>
      <c r="F240" s="18">
        <v>663772.05951000005</v>
      </c>
      <c r="G240" s="18">
        <v>265408.74567999999</v>
      </c>
      <c r="H240" s="18">
        <v>91230.309940000006</v>
      </c>
      <c r="I240" s="18">
        <v>413535.15771000006</v>
      </c>
      <c r="J240" s="18">
        <v>429382.84072000009</v>
      </c>
      <c r="K240" s="18">
        <v>0</v>
      </c>
      <c r="L240" s="19">
        <f t="shared" si="4"/>
        <v>1863329.1135600004</v>
      </c>
      <c r="M240" s="8"/>
      <c r="N240" s="266"/>
    </row>
    <row r="241" spans="1:14" s="3" customFormat="1" ht="12.2" customHeight="1" x14ac:dyDescent="0.15">
      <c r="A241" s="1" t="s">
        <v>444</v>
      </c>
      <c r="B241" s="2" t="s">
        <v>350</v>
      </c>
      <c r="C241" s="2" t="s">
        <v>296</v>
      </c>
      <c r="D241" s="2" t="s">
        <v>431</v>
      </c>
      <c r="E241" s="6">
        <v>2300</v>
      </c>
      <c r="F241" s="18">
        <v>636703.97602000006</v>
      </c>
      <c r="G241" s="18">
        <v>237891.22804999998</v>
      </c>
      <c r="H241" s="18">
        <v>179607.71269000001</v>
      </c>
      <c r="I241" s="18">
        <v>11888.386450000002</v>
      </c>
      <c r="J241" s="18">
        <v>484.5</v>
      </c>
      <c r="K241" s="18">
        <v>32508.774280000001</v>
      </c>
      <c r="L241" s="19">
        <f t="shared" si="4"/>
        <v>1099084.5774900001</v>
      </c>
      <c r="M241" s="8"/>
      <c r="N241" s="266"/>
    </row>
    <row r="242" spans="1:14" s="3" customFormat="1" ht="12.2" customHeight="1" x14ac:dyDescent="0.15">
      <c r="A242" s="1" t="s">
        <v>445</v>
      </c>
      <c r="B242" s="2" t="s">
        <v>350</v>
      </c>
      <c r="C242" s="2" t="s">
        <v>297</v>
      </c>
      <c r="D242" s="2" t="s">
        <v>431</v>
      </c>
      <c r="E242" s="6">
        <v>2400</v>
      </c>
      <c r="F242" s="18">
        <v>1211977.62503</v>
      </c>
      <c r="G242" s="18">
        <v>502179.06545999995</v>
      </c>
      <c r="H242" s="18">
        <v>7745.04</v>
      </c>
      <c r="I242" s="18">
        <v>0</v>
      </c>
      <c r="J242" s="18">
        <v>0</v>
      </c>
      <c r="K242" s="18">
        <v>0</v>
      </c>
      <c r="L242" s="19">
        <f t="shared" si="4"/>
        <v>1721901.73049</v>
      </c>
      <c r="M242" s="8"/>
      <c r="N242" s="266"/>
    </row>
    <row r="243" spans="1:14" s="3" customFormat="1" ht="12.2" customHeight="1" x14ac:dyDescent="0.15">
      <c r="A243" s="1" t="s">
        <v>446</v>
      </c>
      <c r="B243" s="2" t="s">
        <v>350</v>
      </c>
      <c r="C243" s="2" t="s">
        <v>298</v>
      </c>
      <c r="D243" s="2" t="s">
        <v>431</v>
      </c>
      <c r="E243" s="6">
        <v>2500</v>
      </c>
      <c r="F243" s="18">
        <v>366410.53784999996</v>
      </c>
      <c r="G243" s="18">
        <v>86252.912240000005</v>
      </c>
      <c r="H243" s="18">
        <v>7053.0280000000002</v>
      </c>
      <c r="I243" s="18">
        <v>0</v>
      </c>
      <c r="J243" s="18">
        <v>0</v>
      </c>
      <c r="K243" s="18">
        <v>0</v>
      </c>
      <c r="L243" s="19">
        <f t="shared" si="4"/>
        <v>459716.47808999993</v>
      </c>
      <c r="M243" s="8"/>
      <c r="N243" s="266"/>
    </row>
    <row r="244" spans="1:14" s="3" customFormat="1" ht="12.2" customHeight="1" x14ac:dyDescent="0.15">
      <c r="A244" s="1" t="s">
        <v>447</v>
      </c>
      <c r="B244" s="2" t="s">
        <v>350</v>
      </c>
      <c r="C244" s="2" t="s">
        <v>299</v>
      </c>
      <c r="D244" s="2" t="s">
        <v>431</v>
      </c>
      <c r="E244" s="6">
        <v>2600</v>
      </c>
      <c r="F244" s="18">
        <v>2083423.9903799999</v>
      </c>
      <c r="G244" s="18">
        <v>1128224.70759</v>
      </c>
      <c r="H244" s="18">
        <v>1915701.2502600001</v>
      </c>
      <c r="I244" s="18">
        <v>243057.43863000002</v>
      </c>
      <c r="J244" s="18">
        <v>18717.210459999998</v>
      </c>
      <c r="K244" s="18">
        <v>-39041.752900000007</v>
      </c>
      <c r="L244" s="19">
        <f t="shared" si="4"/>
        <v>5350082.84442</v>
      </c>
      <c r="M244" s="8"/>
      <c r="N244" s="266"/>
    </row>
    <row r="245" spans="1:14" s="3" customFormat="1" ht="12.2" customHeight="1" x14ac:dyDescent="0.15">
      <c r="A245" s="1" t="s">
        <v>448</v>
      </c>
      <c r="B245" s="2" t="s">
        <v>350</v>
      </c>
      <c r="C245" s="2" t="s">
        <v>300</v>
      </c>
      <c r="D245" s="2" t="s">
        <v>431</v>
      </c>
      <c r="E245" s="6">
        <v>2700</v>
      </c>
      <c r="F245" s="18">
        <v>28103.78426</v>
      </c>
      <c r="G245" s="18">
        <v>12982.477890000002</v>
      </c>
      <c r="H245" s="18">
        <v>2169036.7739900001</v>
      </c>
      <c r="I245" s="18">
        <v>0</v>
      </c>
      <c r="J245" s="18">
        <v>0</v>
      </c>
      <c r="K245" s="18">
        <v>0</v>
      </c>
      <c r="L245" s="19">
        <f t="shared" si="4"/>
        <v>2210123.03614</v>
      </c>
      <c r="M245" s="8"/>
      <c r="N245" s="266"/>
    </row>
    <row r="246" spans="1:14" s="3" customFormat="1" ht="12.2" customHeight="1" x14ac:dyDescent="0.15">
      <c r="A246" s="1" t="s">
        <v>449</v>
      </c>
      <c r="B246" s="2" t="s">
        <v>350</v>
      </c>
      <c r="C246" s="2" t="s">
        <v>343</v>
      </c>
      <c r="D246" s="2" t="s">
        <v>431</v>
      </c>
      <c r="E246" s="6">
        <v>2800</v>
      </c>
      <c r="F246" s="18">
        <v>81905.564800000007</v>
      </c>
      <c r="G246" s="18">
        <v>33720.754260000002</v>
      </c>
      <c r="H246" s="18">
        <v>73034.508690000002</v>
      </c>
      <c r="I246" s="18">
        <v>0</v>
      </c>
      <c r="J246" s="18">
        <v>0</v>
      </c>
      <c r="K246" s="18">
        <v>0</v>
      </c>
      <c r="L246" s="19">
        <f>SUM(F246:K246)</f>
        <v>188660.82775</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26339206.967806503</v>
      </c>
      <c r="G248" s="41">
        <f t="shared" si="5"/>
        <v>12053585.734446499</v>
      </c>
      <c r="H248" s="41">
        <f t="shared" si="5"/>
        <v>7136413.6530613992</v>
      </c>
      <c r="I248" s="41">
        <f t="shared" si="5"/>
        <v>1014075.2901312</v>
      </c>
      <c r="J248" s="41">
        <f t="shared" si="5"/>
        <v>616863.56276000012</v>
      </c>
      <c r="K248" s="41">
        <f t="shared" si="5"/>
        <v>-181269.69861999998</v>
      </c>
      <c r="L248" s="41">
        <f t="shared" si="5"/>
        <v>46978875.509585604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v>95058.22</v>
      </c>
      <c r="G252" s="18">
        <v>22952.93</v>
      </c>
      <c r="H252" s="18">
        <v>0</v>
      </c>
      <c r="I252" s="18">
        <v>0</v>
      </c>
      <c r="J252" s="18">
        <v>0</v>
      </c>
      <c r="K252" s="18">
        <v>0</v>
      </c>
      <c r="L252" s="19">
        <f t="shared" si="6"/>
        <v>118011.15</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v>133819.35999999999</v>
      </c>
      <c r="L256" s="19">
        <f t="shared" si="6"/>
        <v>133819.35999999999</v>
      </c>
      <c r="M256" s="8"/>
      <c r="N256" s="266"/>
    </row>
    <row r="257" spans="1:14" s="3" customFormat="1" ht="12.2" customHeight="1" thickTop="1" thickBot="1" x14ac:dyDescent="0.2">
      <c r="A257" s="38" t="s">
        <v>461</v>
      </c>
      <c r="B257" s="40">
        <v>10</v>
      </c>
      <c r="C257" s="40">
        <v>7</v>
      </c>
      <c r="D257" s="39" t="s">
        <v>431</v>
      </c>
      <c r="E257" s="40"/>
      <c r="F257" s="41">
        <f t="shared" ref="F257:K257" si="7">SUM(F251:F256)</f>
        <v>95058.22</v>
      </c>
      <c r="G257" s="41">
        <f t="shared" si="7"/>
        <v>22952.93</v>
      </c>
      <c r="H257" s="41">
        <f t="shared" si="7"/>
        <v>0</v>
      </c>
      <c r="I257" s="41">
        <f t="shared" si="7"/>
        <v>0</v>
      </c>
      <c r="J257" s="41">
        <f t="shared" si="7"/>
        <v>0</v>
      </c>
      <c r="K257" s="41">
        <f t="shared" si="7"/>
        <v>133819.35999999999</v>
      </c>
      <c r="L257" s="41">
        <f>SUM(F257:K257)</f>
        <v>251830.50999999998</v>
      </c>
      <c r="M257" s="8"/>
      <c r="N257" s="266"/>
    </row>
    <row r="258" spans="1:14" s="3" customFormat="1" ht="12.2" customHeight="1" thickTop="1" x14ac:dyDescent="0.15">
      <c r="A258" s="38" t="s">
        <v>462</v>
      </c>
      <c r="B258" s="40">
        <v>10</v>
      </c>
      <c r="C258" s="40">
        <v>8</v>
      </c>
      <c r="D258" s="39" t="s">
        <v>431</v>
      </c>
      <c r="E258" s="40"/>
      <c r="F258" s="41">
        <f t="shared" ref="F258:L258" si="8">F212+F230+F248+F257</f>
        <v>86713156.799999982</v>
      </c>
      <c r="G258" s="41">
        <f t="shared" si="8"/>
        <v>39004107.199999996</v>
      </c>
      <c r="H258" s="41">
        <f t="shared" si="8"/>
        <v>22495240.759999998</v>
      </c>
      <c r="I258" s="41">
        <f t="shared" si="8"/>
        <v>2927648.39</v>
      </c>
      <c r="J258" s="41">
        <f t="shared" si="8"/>
        <v>1778578.3</v>
      </c>
      <c r="K258" s="41">
        <f t="shared" si="8"/>
        <v>-61143.299999999988</v>
      </c>
      <c r="L258" s="41">
        <f t="shared" si="8"/>
        <v>152857588.14999998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8038000</v>
      </c>
      <c r="L261" s="19">
        <f>SUM(F261:K261)</f>
        <v>8038000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1854480.47</v>
      </c>
      <c r="L262" s="19">
        <f>SUM(F262:K262)</f>
        <v>1854480.47</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2000000</v>
      </c>
      <c r="L266" s="19">
        <f t="shared" si="9"/>
        <v>2000000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140000</v>
      </c>
      <c r="L267" s="19">
        <f t="shared" si="9"/>
        <v>140000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12032480.470000001</v>
      </c>
      <c r="L271" s="41">
        <f t="shared" si="9"/>
        <v>12032480.470000001</v>
      </c>
      <c r="M271" s="8"/>
      <c r="N271" s="266"/>
    </row>
    <row r="272" spans="1:14" s="34" customFormat="1" ht="12.2" customHeight="1" thickTop="1" x14ac:dyDescent="0.2">
      <c r="A272" s="43" t="s">
        <v>464</v>
      </c>
      <c r="B272" s="40">
        <v>10</v>
      </c>
      <c r="C272" s="40">
        <v>18</v>
      </c>
      <c r="D272" s="39" t="s">
        <v>431</v>
      </c>
      <c r="E272" s="40"/>
      <c r="F272" s="42">
        <f t="shared" ref="F272:L272" si="11">F258+F271</f>
        <v>86713156.799999982</v>
      </c>
      <c r="G272" s="42">
        <f t="shared" si="11"/>
        <v>39004107.199999996</v>
      </c>
      <c r="H272" s="42">
        <f t="shared" si="11"/>
        <v>22495240.759999998</v>
      </c>
      <c r="I272" s="42">
        <f t="shared" si="11"/>
        <v>2927648.39</v>
      </c>
      <c r="J272" s="42">
        <f t="shared" si="11"/>
        <v>1778578.3</v>
      </c>
      <c r="K272" s="42">
        <f t="shared" si="11"/>
        <v>11971337.17</v>
      </c>
      <c r="L272" s="42">
        <f t="shared" si="11"/>
        <v>164890068.61999997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1613604.1862500005</v>
      </c>
      <c r="G277" s="18">
        <v>196506.61301999999</v>
      </c>
      <c r="H277" s="18">
        <v>29378.431650000002</v>
      </c>
      <c r="I277" s="18">
        <v>127807.63107</v>
      </c>
      <c r="J277" s="18">
        <v>148776.13686999999</v>
      </c>
      <c r="K277" s="18">
        <v>0</v>
      </c>
      <c r="L277" s="19">
        <f>SUM(F277:K277)</f>
        <v>2116072.9988600006</v>
      </c>
      <c r="M277" s="8"/>
      <c r="N277" s="266"/>
    </row>
    <row r="278" spans="1:14" s="3" customFormat="1" ht="12.2" customHeight="1" x14ac:dyDescent="0.15">
      <c r="A278" s="1" t="s">
        <v>439</v>
      </c>
      <c r="B278" s="2" t="s">
        <v>357</v>
      </c>
      <c r="C278" s="2" t="s">
        <v>291</v>
      </c>
      <c r="D278" s="2" t="s">
        <v>431</v>
      </c>
      <c r="E278" s="6">
        <v>1200</v>
      </c>
      <c r="F278" s="18">
        <v>1222843.4821382</v>
      </c>
      <c r="G278" s="18">
        <v>549687.39908750006</v>
      </c>
      <c r="H278" s="18">
        <v>106607.01679230001</v>
      </c>
      <c r="I278" s="18">
        <v>95572.710108400017</v>
      </c>
      <c r="J278" s="18">
        <v>96198.460607800007</v>
      </c>
      <c r="K278" s="18">
        <v>0</v>
      </c>
      <c r="L278" s="19">
        <f>SUM(F278:K278)</f>
        <v>2070909.0687342</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236.22</v>
      </c>
      <c r="J279" s="18">
        <v>0</v>
      </c>
      <c r="K279" s="18">
        <v>0</v>
      </c>
      <c r="L279" s="19">
        <f>SUM(F279:K279)</f>
        <v>236.22</v>
      </c>
      <c r="M279" s="8"/>
      <c r="N279" s="266"/>
    </row>
    <row r="280" spans="1:14" s="3" customFormat="1" ht="12.2" customHeight="1" x14ac:dyDescent="0.15">
      <c r="A280" s="1" t="s">
        <v>441</v>
      </c>
      <c r="B280" s="2" t="s">
        <v>357</v>
      </c>
      <c r="C280" s="2" t="s">
        <v>293</v>
      </c>
      <c r="D280" s="2" t="s">
        <v>431</v>
      </c>
      <c r="E280" s="6">
        <v>1400</v>
      </c>
      <c r="F280" s="18">
        <v>442122.52000000008</v>
      </c>
      <c r="G280" s="18">
        <v>70857.549999999988</v>
      </c>
      <c r="H280" s="18">
        <v>181371.69</v>
      </c>
      <c r="I280" s="18">
        <v>90967.24</v>
      </c>
      <c r="J280" s="18">
        <v>5945.2</v>
      </c>
      <c r="K280" s="18">
        <v>0</v>
      </c>
      <c r="L280" s="19">
        <f>SUM(F280:K280)</f>
        <v>791264.2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208122.40871189997</v>
      </c>
      <c r="G282" s="18">
        <v>100407.8609189</v>
      </c>
      <c r="H282" s="18">
        <v>209950.68684240003</v>
      </c>
      <c r="I282" s="18">
        <v>0</v>
      </c>
      <c r="J282" s="18">
        <v>0</v>
      </c>
      <c r="K282" s="18">
        <v>0</v>
      </c>
      <c r="L282" s="19">
        <f t="shared" ref="L282:L288" si="12">SUM(F282:K282)</f>
        <v>518480.9564732</v>
      </c>
      <c r="M282" s="8"/>
      <c r="N282" s="266"/>
    </row>
    <row r="283" spans="1:14" s="3" customFormat="1" ht="12.2" customHeight="1" x14ac:dyDescent="0.15">
      <c r="A283" s="1" t="s">
        <v>443</v>
      </c>
      <c r="B283" s="2" t="s">
        <v>357</v>
      </c>
      <c r="C283" s="2" t="s">
        <v>295</v>
      </c>
      <c r="D283" s="2" t="s">
        <v>431</v>
      </c>
      <c r="E283" s="6">
        <v>2200</v>
      </c>
      <c r="F283" s="18">
        <v>491502.85184000002</v>
      </c>
      <c r="G283" s="18">
        <v>241096.92316999999</v>
      </c>
      <c r="H283" s="18">
        <v>132531.80755999999</v>
      </c>
      <c r="I283" s="18">
        <v>134677.45365999997</v>
      </c>
      <c r="J283" s="18">
        <v>62473.638480000001</v>
      </c>
      <c r="K283" s="18">
        <v>0</v>
      </c>
      <c r="L283" s="19">
        <f t="shared" si="12"/>
        <v>1062282.6747099999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v>74594.28</v>
      </c>
      <c r="G285" s="18">
        <v>57764.619999999988</v>
      </c>
      <c r="H285" s="18">
        <v>0</v>
      </c>
      <c r="I285" s="18">
        <v>0</v>
      </c>
      <c r="J285" s="18">
        <v>999.99999999999989</v>
      </c>
      <c r="K285" s="18">
        <v>0</v>
      </c>
      <c r="L285" s="19">
        <f t="shared" si="12"/>
        <v>133358.9</v>
      </c>
      <c r="M285" s="8"/>
      <c r="N285" s="266"/>
    </row>
    <row r="286" spans="1:14" s="3" customFormat="1" ht="12.2" customHeight="1" x14ac:dyDescent="0.15">
      <c r="A286" s="1" t="s">
        <v>446</v>
      </c>
      <c r="B286" s="2" t="s">
        <v>357</v>
      </c>
      <c r="C286" s="2" t="s">
        <v>298</v>
      </c>
      <c r="D286" s="2" t="s">
        <v>431</v>
      </c>
      <c r="E286" s="6">
        <v>2500</v>
      </c>
      <c r="F286" s="18">
        <v>0</v>
      </c>
      <c r="G286" s="18">
        <v>0</v>
      </c>
      <c r="H286" s="18">
        <v>1060</v>
      </c>
      <c r="I286" s="18">
        <v>457.65</v>
      </c>
      <c r="J286" s="18">
        <v>0</v>
      </c>
      <c r="K286" s="18">
        <v>102112.32456000002</v>
      </c>
      <c r="L286" s="19">
        <f t="shared" si="12"/>
        <v>103629.97456000002</v>
      </c>
      <c r="M286" s="8"/>
      <c r="N286" s="266"/>
    </row>
    <row r="287" spans="1:14" s="3" customFormat="1" ht="12.2" customHeight="1" x14ac:dyDescent="0.15">
      <c r="A287" s="1" t="s">
        <v>447</v>
      </c>
      <c r="B287" s="2" t="s">
        <v>357</v>
      </c>
      <c r="C287" s="2" t="s">
        <v>299</v>
      </c>
      <c r="D287" s="2" t="s">
        <v>431</v>
      </c>
      <c r="E287" s="6">
        <v>2600</v>
      </c>
      <c r="F287" s="18">
        <v>35590.850999999995</v>
      </c>
      <c r="G287" s="18">
        <v>0</v>
      </c>
      <c r="H287" s="18">
        <v>16945.03125</v>
      </c>
      <c r="I287" s="18">
        <v>0</v>
      </c>
      <c r="J287" s="18">
        <v>48429.57</v>
      </c>
      <c r="K287" s="18">
        <v>19164.300899999998</v>
      </c>
      <c r="L287" s="19">
        <f t="shared" si="12"/>
        <v>120129.75315</v>
      </c>
      <c r="M287" s="8"/>
      <c r="N287" s="266"/>
    </row>
    <row r="288" spans="1:14" s="3" customFormat="1" ht="12.2" customHeight="1" x14ac:dyDescent="0.15">
      <c r="A288" s="1" t="s">
        <v>448</v>
      </c>
      <c r="B288" s="2" t="s">
        <v>357</v>
      </c>
      <c r="C288" s="2" t="s">
        <v>300</v>
      </c>
      <c r="D288" s="2" t="s">
        <v>431</v>
      </c>
      <c r="E288" s="6">
        <v>2700</v>
      </c>
      <c r="F288" s="18">
        <v>0</v>
      </c>
      <c r="G288" s="18">
        <v>0</v>
      </c>
      <c r="H288" s="18">
        <v>21127.776824100001</v>
      </c>
      <c r="I288" s="18">
        <v>0</v>
      </c>
      <c r="J288" s="18">
        <v>0</v>
      </c>
      <c r="K288" s="18">
        <v>0</v>
      </c>
      <c r="L288" s="19">
        <f t="shared" si="12"/>
        <v>21127.776824100001</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4088380.5799401002</v>
      </c>
      <c r="G291" s="42">
        <f t="shared" si="13"/>
        <v>1216320.9661964001</v>
      </c>
      <c r="H291" s="42">
        <f t="shared" si="13"/>
        <v>698972.44091879996</v>
      </c>
      <c r="I291" s="42">
        <f t="shared" si="13"/>
        <v>449718.90483840008</v>
      </c>
      <c r="J291" s="42">
        <f t="shared" si="13"/>
        <v>362823.00595780002</v>
      </c>
      <c r="K291" s="42">
        <f t="shared" si="13"/>
        <v>121276.62546000002</v>
      </c>
      <c r="L291" s="41">
        <f t="shared" si="13"/>
        <v>6937492.5233115004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690.2</v>
      </c>
      <c r="G296" s="18">
        <v>54.508160000000004</v>
      </c>
      <c r="H296" s="18">
        <v>14527.083200000001</v>
      </c>
      <c r="I296" s="18">
        <v>11635.722560000002</v>
      </c>
      <c r="J296" s="18">
        <v>2948.6889600000004</v>
      </c>
      <c r="K296" s="18">
        <v>0</v>
      </c>
      <c r="L296" s="19">
        <f>SUM(F296:K296)</f>
        <v>29856.202880000004</v>
      </c>
      <c r="M296" s="8"/>
      <c r="N296" s="266"/>
    </row>
    <row r="297" spans="1:14" s="3" customFormat="1" ht="12.2" customHeight="1" x14ac:dyDescent="0.15">
      <c r="A297" s="1" t="s">
        <v>439</v>
      </c>
      <c r="B297" s="2" t="s">
        <v>358</v>
      </c>
      <c r="C297" s="2" t="s">
        <v>291</v>
      </c>
      <c r="D297" s="2" t="s">
        <v>431</v>
      </c>
      <c r="E297" s="6">
        <v>1200</v>
      </c>
      <c r="F297" s="18">
        <v>438863.15904960001</v>
      </c>
      <c r="G297" s="18">
        <v>210916.75319999998</v>
      </c>
      <c r="H297" s="18">
        <v>46544.380454400001</v>
      </c>
      <c r="I297" s="18">
        <v>25707.718195200003</v>
      </c>
      <c r="J297" s="18">
        <v>42382.603238399999</v>
      </c>
      <c r="K297" s="18">
        <v>0</v>
      </c>
      <c r="L297" s="19">
        <f>SUM(F297:K297)</f>
        <v>764414.61413759994</v>
      </c>
      <c r="M297" s="8"/>
      <c r="N297" s="266"/>
    </row>
    <row r="298" spans="1:14" s="3" customFormat="1" ht="12.2" customHeight="1" x14ac:dyDescent="0.15">
      <c r="A298" s="1" t="s">
        <v>440</v>
      </c>
      <c r="B298" s="2" t="s">
        <v>358</v>
      </c>
      <c r="C298" s="2" t="s">
        <v>292</v>
      </c>
      <c r="D298" s="2" t="s">
        <v>431</v>
      </c>
      <c r="E298" s="6">
        <v>1300</v>
      </c>
      <c r="F298" s="18">
        <v>1000</v>
      </c>
      <c r="G298" s="18">
        <v>0</v>
      </c>
      <c r="H298" s="18">
        <v>422.06</v>
      </c>
      <c r="I298" s="18">
        <v>399.64</v>
      </c>
      <c r="J298" s="18">
        <v>0</v>
      </c>
      <c r="K298" s="18">
        <v>0</v>
      </c>
      <c r="L298" s="19">
        <f>SUM(F298:K298)</f>
        <v>1821.6999999999998</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22085.536243199997</v>
      </c>
      <c r="G301" s="18">
        <v>9336.5323391999991</v>
      </c>
      <c r="H301" s="18">
        <v>93883.223347200023</v>
      </c>
      <c r="I301" s="18">
        <v>0</v>
      </c>
      <c r="J301" s="18">
        <v>0</v>
      </c>
      <c r="K301" s="18">
        <v>0</v>
      </c>
      <c r="L301" s="19">
        <f t="shared" ref="L301:L307" si="14">SUM(F301:K301)</f>
        <v>125305.29192960002</v>
      </c>
      <c r="M301" s="8"/>
      <c r="N301" s="266"/>
    </row>
    <row r="302" spans="1:14" s="3" customFormat="1" ht="12.2" customHeight="1" x14ac:dyDescent="0.15">
      <c r="A302" s="1" t="s">
        <v>443</v>
      </c>
      <c r="B302" s="2" t="s">
        <v>358</v>
      </c>
      <c r="C302" s="2" t="s">
        <v>295</v>
      </c>
      <c r="D302" s="2" t="s">
        <v>431</v>
      </c>
      <c r="E302" s="6">
        <v>2200</v>
      </c>
      <c r="F302" s="18">
        <v>98520.862720000005</v>
      </c>
      <c r="G302" s="18">
        <v>44179.719360000003</v>
      </c>
      <c r="H302" s="18">
        <v>16559.092479999999</v>
      </c>
      <c r="I302" s="18">
        <v>10196.08128</v>
      </c>
      <c r="J302" s="18">
        <v>13494.243840000003</v>
      </c>
      <c r="K302" s="18">
        <v>0</v>
      </c>
      <c r="L302" s="19">
        <f t="shared" si="14"/>
        <v>182949.99968000004</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48734.228480000005</v>
      </c>
      <c r="L305" s="19">
        <f t="shared" si="14"/>
        <v>48734.228480000005</v>
      </c>
      <c r="M305" s="8"/>
      <c r="N305" s="266"/>
    </row>
    <row r="306" spans="1:14" s="3" customFormat="1" ht="12.2" customHeight="1" x14ac:dyDescent="0.15">
      <c r="A306" s="1" t="s">
        <v>447</v>
      </c>
      <c r="B306" s="2" t="s">
        <v>358</v>
      </c>
      <c r="C306" s="2" t="s">
        <v>299</v>
      </c>
      <c r="D306" s="2" t="s">
        <v>431</v>
      </c>
      <c r="E306" s="6">
        <v>2600</v>
      </c>
      <c r="F306" s="18">
        <v>17599.008000000002</v>
      </c>
      <c r="G306" s="18">
        <v>0</v>
      </c>
      <c r="H306" s="18">
        <v>8379</v>
      </c>
      <c r="I306" s="18">
        <v>0</v>
      </c>
      <c r="J306" s="18">
        <v>18320</v>
      </c>
      <c r="K306" s="18">
        <v>9476.387200000001</v>
      </c>
      <c r="L306" s="19">
        <f t="shared" si="14"/>
        <v>53774.395199999999</v>
      </c>
      <c r="M306" s="8"/>
      <c r="N306" s="266"/>
    </row>
    <row r="307" spans="1:14" s="3" customFormat="1" ht="12.2" customHeight="1" x14ac:dyDescent="0.15">
      <c r="A307" s="1" t="s">
        <v>448</v>
      </c>
      <c r="B307" s="2" t="s">
        <v>358</v>
      </c>
      <c r="C307" s="2" t="s">
        <v>300</v>
      </c>
      <c r="D307" s="2" t="s">
        <v>431</v>
      </c>
      <c r="E307" s="6">
        <v>2700</v>
      </c>
      <c r="F307" s="18">
        <v>0</v>
      </c>
      <c r="G307" s="18">
        <v>0</v>
      </c>
      <c r="H307" s="18">
        <v>9447.6651648000006</v>
      </c>
      <c r="I307" s="18">
        <v>0</v>
      </c>
      <c r="J307" s="18">
        <v>0</v>
      </c>
      <c r="K307" s="18">
        <v>0</v>
      </c>
      <c r="L307" s="19">
        <f t="shared" si="14"/>
        <v>9447.6651648000006</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578758.76601280004</v>
      </c>
      <c r="G310" s="42">
        <f t="shared" si="15"/>
        <v>264487.51305919996</v>
      </c>
      <c r="H310" s="42">
        <f t="shared" si="15"/>
        <v>189762.50464640002</v>
      </c>
      <c r="I310" s="42">
        <f t="shared" si="15"/>
        <v>47939.162035200003</v>
      </c>
      <c r="J310" s="42">
        <f t="shared" si="15"/>
        <v>77145.536038399994</v>
      </c>
      <c r="K310" s="42">
        <f t="shared" si="15"/>
        <v>58210.615680000003</v>
      </c>
      <c r="L310" s="41">
        <f t="shared" si="15"/>
        <v>1216304.0974719999</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995.24375000000009</v>
      </c>
      <c r="G315" s="18">
        <v>78.598820000000003</v>
      </c>
      <c r="H315" s="18">
        <v>20947.535150000003</v>
      </c>
      <c r="I315" s="18">
        <v>16778.296370000004</v>
      </c>
      <c r="J315" s="18">
        <v>4251.9041699999998</v>
      </c>
      <c r="K315" s="18">
        <v>0</v>
      </c>
      <c r="L315" s="19">
        <f>SUM(F315:K315)</f>
        <v>43051.578260000009</v>
      </c>
      <c r="M315" s="8"/>
      <c r="N315" s="266"/>
    </row>
    <row r="316" spans="1:14" s="3" customFormat="1" ht="12.2" customHeight="1" x14ac:dyDescent="0.15">
      <c r="A316" s="1" t="s">
        <v>439</v>
      </c>
      <c r="B316" s="2" t="s">
        <v>359</v>
      </c>
      <c r="C316" s="2" t="s">
        <v>291</v>
      </c>
      <c r="D316" s="2" t="s">
        <v>431</v>
      </c>
      <c r="E316" s="6">
        <v>1200</v>
      </c>
      <c r="F316" s="18">
        <v>827130.98881220003</v>
      </c>
      <c r="G316" s="18">
        <v>344974.47771250003</v>
      </c>
      <c r="H316" s="18">
        <v>48072.412753299999</v>
      </c>
      <c r="I316" s="18">
        <v>26551.691696400001</v>
      </c>
      <c r="J316" s="18">
        <v>43774.006153800001</v>
      </c>
      <c r="K316" s="18">
        <v>0</v>
      </c>
      <c r="L316" s="19">
        <f>SUM(F316:K316)</f>
        <v>1290503.5771282003</v>
      </c>
      <c r="M316" s="8"/>
      <c r="N316" s="266"/>
    </row>
    <row r="317" spans="1:14" s="3" customFormat="1" ht="12.2" customHeight="1" x14ac:dyDescent="0.15">
      <c r="A317" s="1" t="s">
        <v>440</v>
      </c>
      <c r="B317" s="2" t="s">
        <v>359</v>
      </c>
      <c r="C317" s="2" t="s">
        <v>292</v>
      </c>
      <c r="D317" s="2" t="s">
        <v>431</v>
      </c>
      <c r="E317" s="6">
        <v>1300</v>
      </c>
      <c r="F317" s="18">
        <v>72895.97</v>
      </c>
      <c r="G317" s="18">
        <v>20132</v>
      </c>
      <c r="H317" s="18">
        <v>27676.46</v>
      </c>
      <c r="I317" s="18">
        <v>67534.62</v>
      </c>
      <c r="J317" s="18">
        <v>217940.72000000003</v>
      </c>
      <c r="K317" s="18">
        <v>0</v>
      </c>
      <c r="L317" s="19">
        <f>SUM(F317:K317)</f>
        <v>406179.77</v>
      </c>
      <c r="M317" s="8"/>
      <c r="N317" s="266"/>
    </row>
    <row r="318" spans="1:14" s="3" customFormat="1" ht="12.2" customHeight="1" x14ac:dyDescent="0.15">
      <c r="A318" s="1" t="s">
        <v>441</v>
      </c>
      <c r="B318" s="2" t="s">
        <v>359</v>
      </c>
      <c r="C318" s="2" t="s">
        <v>293</v>
      </c>
      <c r="D318" s="2" t="s">
        <v>431</v>
      </c>
      <c r="E318" s="6">
        <v>1400</v>
      </c>
      <c r="F318" s="18">
        <v>56908.27</v>
      </c>
      <c r="G318" s="18">
        <v>2969.74</v>
      </c>
      <c r="H318" s="18">
        <v>655</v>
      </c>
      <c r="I318" s="18">
        <v>3948.41</v>
      </c>
      <c r="J318" s="18">
        <v>419.96</v>
      </c>
      <c r="K318" s="18">
        <v>148152.82</v>
      </c>
      <c r="L318" s="19">
        <f>SUM(F318:K318)</f>
        <v>213054.2</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59810.285044899996</v>
      </c>
      <c r="G320" s="18">
        <v>38682.406741899998</v>
      </c>
      <c r="H320" s="18">
        <v>96965.369810400007</v>
      </c>
      <c r="I320" s="18">
        <v>0</v>
      </c>
      <c r="J320" s="18">
        <v>0</v>
      </c>
      <c r="K320" s="18">
        <v>0</v>
      </c>
      <c r="L320" s="19">
        <f t="shared" ref="L320:L326" si="16">SUM(F320:K320)</f>
        <v>195458.06159719999</v>
      </c>
      <c r="M320" s="8"/>
      <c r="N320" s="266"/>
    </row>
    <row r="321" spans="1:14" s="3" customFormat="1" ht="12.2" customHeight="1" x14ac:dyDescent="0.15">
      <c r="A321" s="1" t="s">
        <v>443</v>
      </c>
      <c r="B321" s="2" t="s">
        <v>359</v>
      </c>
      <c r="C321" s="2" t="s">
        <v>295</v>
      </c>
      <c r="D321" s="2" t="s">
        <v>431</v>
      </c>
      <c r="E321" s="6">
        <v>2200</v>
      </c>
      <c r="F321" s="18">
        <v>143613.56544000003</v>
      </c>
      <c r="G321" s="18">
        <v>64071.577470000004</v>
      </c>
      <c r="H321" s="18">
        <v>104322.83996</v>
      </c>
      <c r="I321" s="18">
        <v>14702.385060000001</v>
      </c>
      <c r="J321" s="18">
        <v>19458.217680000002</v>
      </c>
      <c r="K321" s="18">
        <v>0</v>
      </c>
      <c r="L321" s="19">
        <f t="shared" si="16"/>
        <v>346168.58561000007</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72757.156960000008</v>
      </c>
      <c r="L324" s="19">
        <f t="shared" si="16"/>
        <v>72757.156960000008</v>
      </c>
      <c r="M324" s="8"/>
      <c r="N324" s="266"/>
    </row>
    <row r="325" spans="1:14" s="3" customFormat="1" ht="12.2" customHeight="1" x14ac:dyDescent="0.15">
      <c r="A325" s="1" t="s">
        <v>447</v>
      </c>
      <c r="B325" s="2" t="s">
        <v>359</v>
      </c>
      <c r="C325" s="2" t="s">
        <v>299</v>
      </c>
      <c r="D325" s="2" t="s">
        <v>431</v>
      </c>
      <c r="E325" s="6">
        <v>2600</v>
      </c>
      <c r="F325" s="18">
        <v>25377.141</v>
      </c>
      <c r="G325" s="18">
        <v>0</v>
      </c>
      <c r="H325" s="18">
        <v>12082.21875</v>
      </c>
      <c r="I325" s="18">
        <v>0</v>
      </c>
      <c r="J325" s="18">
        <v>374.54</v>
      </c>
      <c r="K325" s="18">
        <v>13664.6119</v>
      </c>
      <c r="L325" s="19">
        <f t="shared" si="16"/>
        <v>51498.51165</v>
      </c>
      <c r="M325" s="8"/>
      <c r="N325" s="266"/>
    </row>
    <row r="326" spans="1:14" s="3" customFormat="1" ht="12.2" customHeight="1" x14ac:dyDescent="0.15">
      <c r="A326" s="1" t="s">
        <v>448</v>
      </c>
      <c r="B326" s="2" t="s">
        <v>359</v>
      </c>
      <c r="C326" s="2" t="s">
        <v>300</v>
      </c>
      <c r="D326" s="2" t="s">
        <v>431</v>
      </c>
      <c r="E326" s="6">
        <v>2700</v>
      </c>
      <c r="F326" s="18">
        <v>0</v>
      </c>
      <c r="G326" s="18">
        <v>0</v>
      </c>
      <c r="H326" s="18">
        <v>15109.1280111</v>
      </c>
      <c r="I326" s="18">
        <v>0</v>
      </c>
      <c r="J326" s="18">
        <v>0</v>
      </c>
      <c r="K326" s="18">
        <v>0</v>
      </c>
      <c r="L326" s="19">
        <f t="shared" si="16"/>
        <v>15109.1280111</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1186731.4640471002</v>
      </c>
      <c r="G329" s="42">
        <f t="shared" si="17"/>
        <v>470908.80074440007</v>
      </c>
      <c r="H329" s="42">
        <f t="shared" si="17"/>
        <v>325830.96443479997</v>
      </c>
      <c r="I329" s="42">
        <f t="shared" si="17"/>
        <v>129515.40312640001</v>
      </c>
      <c r="J329" s="42">
        <f t="shared" si="17"/>
        <v>286219.34800380003</v>
      </c>
      <c r="K329" s="42">
        <f t="shared" si="17"/>
        <v>234574.58885999999</v>
      </c>
      <c r="L329" s="41">
        <f t="shared" si="17"/>
        <v>2633780.5692165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27687.5</v>
      </c>
      <c r="G333" s="18">
        <v>2005.91</v>
      </c>
      <c r="H333" s="18">
        <v>10902.12</v>
      </c>
      <c r="I333" s="18">
        <v>0</v>
      </c>
      <c r="J333" s="18">
        <v>0</v>
      </c>
      <c r="K333" s="18">
        <v>0</v>
      </c>
      <c r="L333" s="19">
        <f t="shared" ref="L333:L338" si="18">SUM(F333:K333)</f>
        <v>40595.53</v>
      </c>
      <c r="M333" s="8"/>
      <c r="N333" s="266"/>
    </row>
    <row r="334" spans="1:14" s="3" customFormat="1" ht="12.2" customHeight="1" x14ac:dyDescent="0.15">
      <c r="A334" s="1" t="s">
        <v>353</v>
      </c>
      <c r="B334" s="6">
        <v>14</v>
      </c>
      <c r="C334" s="2" t="s">
        <v>309</v>
      </c>
      <c r="D334" s="2" t="s">
        <v>431</v>
      </c>
      <c r="E334" s="6">
        <v>1600</v>
      </c>
      <c r="F334" s="18">
        <v>160647.60999999999</v>
      </c>
      <c r="G334" s="18">
        <v>28633.64</v>
      </c>
      <c r="H334" s="18">
        <v>21921.87</v>
      </c>
      <c r="I334" s="18">
        <v>6651</v>
      </c>
      <c r="J334" s="18">
        <v>691.8</v>
      </c>
      <c r="K334" s="18">
        <v>0</v>
      </c>
      <c r="L334" s="19">
        <f t="shared" si="18"/>
        <v>218545.91999999998</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188335.11</v>
      </c>
      <c r="G338" s="41">
        <f t="shared" si="19"/>
        <v>30639.55</v>
      </c>
      <c r="H338" s="41">
        <f t="shared" si="19"/>
        <v>32823.99</v>
      </c>
      <c r="I338" s="41">
        <f t="shared" si="19"/>
        <v>6651</v>
      </c>
      <c r="J338" s="41">
        <f t="shared" si="19"/>
        <v>691.8</v>
      </c>
      <c r="K338" s="41">
        <f t="shared" si="19"/>
        <v>0</v>
      </c>
      <c r="L338" s="41">
        <f t="shared" si="18"/>
        <v>259141.44999999995</v>
      </c>
      <c r="M338" s="8"/>
      <c r="N338" s="266"/>
    </row>
    <row r="339" spans="1:43" s="3" customFormat="1" ht="12.2" customHeight="1" thickTop="1" x14ac:dyDescent="0.15">
      <c r="A339" s="38" t="s">
        <v>468</v>
      </c>
      <c r="B339" s="40">
        <v>14</v>
      </c>
      <c r="C339" s="40">
        <v>7</v>
      </c>
      <c r="D339" s="39" t="s">
        <v>431</v>
      </c>
      <c r="E339" s="40"/>
      <c r="F339" s="41">
        <f t="shared" ref="F339:L339" si="20">F291+F310+F329+F338</f>
        <v>6042205.9200000009</v>
      </c>
      <c r="G339" s="41">
        <f t="shared" si="20"/>
        <v>1982356.8300000003</v>
      </c>
      <c r="H339" s="41">
        <f t="shared" si="20"/>
        <v>1247389.8999999999</v>
      </c>
      <c r="I339" s="41">
        <f t="shared" si="20"/>
        <v>633824.47000000009</v>
      </c>
      <c r="J339" s="41">
        <f t="shared" si="20"/>
        <v>726879.69000000006</v>
      </c>
      <c r="K339" s="41">
        <f t="shared" si="20"/>
        <v>414061.83</v>
      </c>
      <c r="L339" s="41">
        <f t="shared" si="20"/>
        <v>11046718.640000001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6042205.9200000009</v>
      </c>
      <c r="G353" s="41">
        <f>G339</f>
        <v>1982356.8300000003</v>
      </c>
      <c r="H353" s="41">
        <f>H339</f>
        <v>1247389.8999999999</v>
      </c>
      <c r="I353" s="41">
        <f>I339</f>
        <v>633824.47000000009</v>
      </c>
      <c r="J353" s="41">
        <f>J339</f>
        <v>726879.69000000006</v>
      </c>
      <c r="K353" s="47">
        <f>K339+K352</f>
        <v>414061.83</v>
      </c>
      <c r="L353" s="41">
        <f>L339+L352</f>
        <v>11046718.640000001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701518.66972000012</v>
      </c>
      <c r="G359" s="18">
        <v>304454.42205000005</v>
      </c>
      <c r="H359" s="18">
        <v>34223.714929999995</v>
      </c>
      <c r="I359" s="18">
        <v>735464.18030000012</v>
      </c>
      <c r="J359" s="18">
        <v>8933.6497799999997</v>
      </c>
      <c r="K359" s="18">
        <v>0</v>
      </c>
      <c r="L359" s="13">
        <f>SUM(F359:K359)</f>
        <v>1784594.6367800003</v>
      </c>
      <c r="M359" s="8"/>
      <c r="N359" s="266"/>
    </row>
    <row r="360" spans="1:22" s="3" customFormat="1" ht="12.2" customHeight="1" x14ac:dyDescent="0.15">
      <c r="A360" s="1" t="s">
        <v>542</v>
      </c>
      <c r="B360" s="2" t="s">
        <v>366</v>
      </c>
      <c r="C360" s="6">
        <v>2</v>
      </c>
      <c r="D360" s="2" t="s">
        <v>431</v>
      </c>
      <c r="E360" s="6"/>
      <c r="F360" s="18">
        <v>450278.50175999996</v>
      </c>
      <c r="G360" s="18">
        <v>175160.60640000002</v>
      </c>
      <c r="H360" s="18">
        <v>16416.62544</v>
      </c>
      <c r="I360" s="18">
        <v>351839.93240000005</v>
      </c>
      <c r="J360" s="18">
        <v>2486.7542399999998</v>
      </c>
      <c r="K360" s="18">
        <v>0</v>
      </c>
      <c r="L360" s="19">
        <f>SUM(F360:K360)</f>
        <v>996182.42024000001</v>
      </c>
      <c r="M360" s="8"/>
      <c r="N360" s="266"/>
    </row>
    <row r="361" spans="1:22" s="3" customFormat="1" ht="12.2" customHeight="1" x14ac:dyDescent="0.15">
      <c r="A361" s="3" t="s">
        <v>543</v>
      </c>
      <c r="B361" s="2" t="s">
        <v>366</v>
      </c>
      <c r="C361" s="6">
        <v>3</v>
      </c>
      <c r="D361" s="2" t="s">
        <v>431</v>
      </c>
      <c r="E361" s="6"/>
      <c r="F361" s="18">
        <v>594307.44851999998</v>
      </c>
      <c r="G361" s="18">
        <v>309149.96155000001</v>
      </c>
      <c r="H361" s="18">
        <v>23327.459630000001</v>
      </c>
      <c r="I361" s="18">
        <v>541714.10729999992</v>
      </c>
      <c r="J361" s="18">
        <v>4419.8359799999998</v>
      </c>
      <c r="K361" s="18">
        <v>0</v>
      </c>
      <c r="L361" s="19">
        <f>SUM(F361:K361)</f>
        <v>1472918.8129799999</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1746104.62</v>
      </c>
      <c r="G363" s="47">
        <f t="shared" si="22"/>
        <v>788764.99000000011</v>
      </c>
      <c r="H363" s="47">
        <f t="shared" si="22"/>
        <v>73967.799999999988</v>
      </c>
      <c r="I363" s="47">
        <f t="shared" si="22"/>
        <v>1629018.2200000002</v>
      </c>
      <c r="J363" s="47">
        <f t="shared" si="22"/>
        <v>15840.24</v>
      </c>
      <c r="K363" s="47">
        <f t="shared" si="22"/>
        <v>0</v>
      </c>
      <c r="L363" s="47">
        <f t="shared" si="22"/>
        <v>4253695.87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650828.35376999993</v>
      </c>
      <c r="G368" s="18">
        <v>311635.97415999998</v>
      </c>
      <c r="H368" s="18">
        <v>488400.15207000001</v>
      </c>
      <c r="I368" s="56">
        <f>SUM(F368:H368)</f>
        <v>1450864.48</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84635.826530000006</v>
      </c>
      <c r="G369" s="63">
        <v>40203.958240000007</v>
      </c>
      <c r="H369" s="63">
        <v>53313.95523</v>
      </c>
      <c r="I369" s="56">
        <f>SUM(F369:H369)</f>
        <v>178153.74000000002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735464.18029999989</v>
      </c>
      <c r="G370" s="47">
        <f>SUM(G368:G369)</f>
        <v>351839.93239999999</v>
      </c>
      <c r="H370" s="47">
        <f>SUM(H368:H369)</f>
        <v>541714.10730000003</v>
      </c>
      <c r="I370" s="47">
        <f>SUM(I368:I369)</f>
        <v>1629018.22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v>1482983.57</v>
      </c>
      <c r="L379" s="13">
        <f t="shared" si="23"/>
        <v>1482983.57</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1482983.57</v>
      </c>
      <c r="L383" s="47">
        <f t="shared" si="24"/>
        <v>1482983.57</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v>140000</v>
      </c>
      <c r="H393" s="18">
        <v>13480.48</v>
      </c>
      <c r="I393" s="18"/>
      <c r="J393" s="24" t="s">
        <v>288</v>
      </c>
      <c r="K393" s="24" t="s">
        <v>288</v>
      </c>
      <c r="L393" s="56">
        <f t="shared" si="25"/>
        <v>153480.48000000001</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140000</v>
      </c>
      <c r="H394" s="139">
        <f>SUM(H388:H393)</f>
        <v>13480.48</v>
      </c>
      <c r="I394" s="65">
        <f>SUM(I388:I393)</f>
        <v>0</v>
      </c>
      <c r="J394" s="45" t="s">
        <v>288</v>
      </c>
      <c r="K394" s="45" t="s">
        <v>288</v>
      </c>
      <c r="L394" s="47">
        <f>SUM(L388:L393)</f>
        <v>153480.48000000001</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15464.62</v>
      </c>
      <c r="I401" s="18">
        <v>191821.41</v>
      </c>
      <c r="J401" s="24" t="s">
        <v>288</v>
      </c>
      <c r="K401" s="24" t="s">
        <v>288</v>
      </c>
      <c r="L401" s="56">
        <f t="shared" si="26"/>
        <v>207286.03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15464.62</v>
      </c>
      <c r="I402" s="47">
        <f>SUM(I396:I401)</f>
        <v>191821.41</v>
      </c>
      <c r="J402" s="45" t="s">
        <v>288</v>
      </c>
      <c r="K402" s="45" t="s">
        <v>288</v>
      </c>
      <c r="L402" s="47">
        <f>SUM(L396:L401)</f>
        <v>207286.03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v>499402.21</v>
      </c>
      <c r="I404" s="18">
        <v>48638.83</v>
      </c>
      <c r="J404" s="24" t="s">
        <v>288</v>
      </c>
      <c r="K404" s="24" t="s">
        <v>288</v>
      </c>
      <c r="L404" s="56">
        <f>SUM(F404:K404)</f>
        <v>548041.04</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499402.21</v>
      </c>
      <c r="I408" s="47">
        <f>SUM(I404:I407)</f>
        <v>48638.83</v>
      </c>
      <c r="J408" s="49" t="s">
        <v>288</v>
      </c>
      <c r="K408" s="49" t="s">
        <v>288</v>
      </c>
      <c r="L408" s="47">
        <f>SUM(L404:L407)</f>
        <v>548041.04</v>
      </c>
      <c r="M408" s="8"/>
      <c r="N408" s="266"/>
    </row>
    <row r="409" spans="1:21" s="3" customFormat="1" ht="12.2" customHeight="1" thickTop="1" x14ac:dyDescent="0.15">
      <c r="A409" s="78" t="s">
        <v>421</v>
      </c>
      <c r="B409" s="2" t="s">
        <v>381</v>
      </c>
      <c r="C409" s="6">
        <v>20</v>
      </c>
      <c r="D409" s="6"/>
      <c r="E409" s="40"/>
      <c r="F409" s="47">
        <f>F394+F402+F408</f>
        <v>0</v>
      </c>
      <c r="G409" s="47">
        <f>G394+G402+G408</f>
        <v>140000</v>
      </c>
      <c r="H409" s="47">
        <f>H394+H402+H408</f>
        <v>528347.31000000006</v>
      </c>
      <c r="I409" s="47">
        <f>I394+I402+I408</f>
        <v>240460.24</v>
      </c>
      <c r="J409" s="24" t="s">
        <v>288</v>
      </c>
      <c r="K409" s="24" t="s">
        <v>288</v>
      </c>
      <c r="L409" s="47">
        <f>L394+L402+L408</f>
        <v>908807.55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v>10910.63</v>
      </c>
      <c r="K419" s="18">
        <v>140925</v>
      </c>
      <c r="L419" s="56">
        <f t="shared" si="27"/>
        <v>151835.63</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10910.63</v>
      </c>
      <c r="K420" s="139">
        <f t="shared" si="28"/>
        <v>140925</v>
      </c>
      <c r="L420" s="47">
        <f t="shared" si="28"/>
        <v>151835.63</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v>3175.67</v>
      </c>
      <c r="G427" s="18"/>
      <c r="H427" s="18">
        <v>214101.32</v>
      </c>
      <c r="I427" s="18">
        <v>27899.52</v>
      </c>
      <c r="J427" s="18">
        <v>41552.170000000006</v>
      </c>
      <c r="K427" s="18">
        <v>250000</v>
      </c>
      <c r="L427" s="56">
        <f t="shared" si="29"/>
        <v>536728.67999999993</v>
      </c>
      <c r="M427" s="8"/>
      <c r="N427" s="266"/>
    </row>
    <row r="428" spans="1:21" s="11" customFormat="1" ht="12.2" customHeight="1" thickTop="1" x14ac:dyDescent="0.15">
      <c r="A428" s="160" t="s">
        <v>470</v>
      </c>
      <c r="B428" s="6">
        <v>17</v>
      </c>
      <c r="C428" s="6">
        <v>14</v>
      </c>
      <c r="D428" s="2" t="s">
        <v>432</v>
      </c>
      <c r="E428" s="40">
        <v>5252</v>
      </c>
      <c r="F428" s="47">
        <f t="shared" ref="F428:L428" si="30">SUM(F422:F427)</f>
        <v>3175.67</v>
      </c>
      <c r="G428" s="47">
        <f t="shared" si="30"/>
        <v>0</v>
      </c>
      <c r="H428" s="47">
        <f t="shared" si="30"/>
        <v>214101.32</v>
      </c>
      <c r="I428" s="47">
        <f t="shared" si="30"/>
        <v>27899.52</v>
      </c>
      <c r="J428" s="47">
        <f t="shared" si="30"/>
        <v>41552.170000000006</v>
      </c>
      <c r="K428" s="47">
        <f t="shared" si="30"/>
        <v>250000</v>
      </c>
      <c r="L428" s="47">
        <f t="shared" si="30"/>
        <v>536728.67999999993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3175.67</v>
      </c>
      <c r="G435" s="47">
        <f t="shared" si="32"/>
        <v>0</v>
      </c>
      <c r="H435" s="47">
        <f t="shared" si="32"/>
        <v>214101.32</v>
      </c>
      <c r="I435" s="47">
        <f t="shared" si="32"/>
        <v>27899.52</v>
      </c>
      <c r="J435" s="47">
        <f t="shared" si="32"/>
        <v>52462.8</v>
      </c>
      <c r="K435" s="47">
        <f t="shared" si="32"/>
        <v>390925</v>
      </c>
      <c r="L435" s="47">
        <f t="shared" si="32"/>
        <v>688564.30999999994</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1015727.98</v>
      </c>
      <c r="G440" s="18">
        <v>1057253.1599999999</v>
      </c>
      <c r="H440" s="18">
        <v>107302.64</v>
      </c>
      <c r="I440" s="56">
        <f t="shared" ref="I440:I446" si="33">SUM(F440:H440)</f>
        <v>2180283.7799999998</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v>6873424.3300000001</v>
      </c>
      <c r="I441" s="56">
        <f t="shared" si="33"/>
        <v>6873424.3300000001</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41777.120000000003</v>
      </c>
      <c r="H442" s="18"/>
      <c r="I442" s="56">
        <f t="shared" si="33"/>
        <v>41777.120000000003</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1015727.98</v>
      </c>
      <c r="G447" s="13">
        <f>SUM(G440:G446)</f>
        <v>1099030.28</v>
      </c>
      <c r="H447" s="13">
        <f>SUM(H440:H446)</f>
        <v>6980726.9699999997</v>
      </c>
      <c r="I447" s="13">
        <f>SUM(I440:I446)</f>
        <v>9095485.2299999986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v>170155.58</v>
      </c>
      <c r="I449" s="56">
        <f>SUM(F449:H449)</f>
        <v>170155.58</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170155.58</v>
      </c>
      <c r="I453" s="72">
        <f>SUM(I449:I452)</f>
        <v>170155.58</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v>6433500.3300000001</v>
      </c>
      <c r="I458" s="56">
        <f t="shared" si="34"/>
        <v>6433500.3300000001</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v>377071.06</v>
      </c>
      <c r="I459" s="56">
        <f t="shared" si="34"/>
        <v>377071.06</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1015727.98</v>
      </c>
      <c r="G460" s="18">
        <v>1099030.28</v>
      </c>
      <c r="H460" s="18"/>
      <c r="I460" s="56">
        <f t="shared" si="34"/>
        <v>2114758.2599999998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1015727.98</v>
      </c>
      <c r="G461" s="83">
        <f>SUM(G455:G460)</f>
        <v>1099030.28</v>
      </c>
      <c r="H461" s="83">
        <f>SUM(H455:H460)</f>
        <v>6810571.3899999997</v>
      </c>
      <c r="I461" s="83">
        <f>SUM(I455:I460)</f>
        <v>8925329.6499999985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1015727.98</v>
      </c>
      <c r="G462" s="42">
        <f>G453+G461</f>
        <v>1099030.28</v>
      </c>
      <c r="H462" s="42">
        <f>H453+H461</f>
        <v>6980726.9699999997</v>
      </c>
      <c r="I462" s="42">
        <f>I453+I461</f>
        <v>9095485.2299999986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0</v>
      </c>
      <c r="G466" s="18">
        <v>815908.29</v>
      </c>
      <c r="H466" s="18">
        <v>1414770.93</v>
      </c>
      <c r="I466" s="18">
        <v>-2347.36</v>
      </c>
      <c r="J466" s="18">
        <v>8705086.4100000001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164890068.62</v>
      </c>
      <c r="G469" s="18">
        <v>3689686.37</v>
      </c>
      <c r="H469" s="18">
        <v>11683514.59</v>
      </c>
      <c r="I469" s="18">
        <v>2380000</v>
      </c>
      <c r="J469" s="18">
        <v>908807.55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164890068.62</v>
      </c>
      <c r="G471" s="53">
        <f>SUM(G469:G470)</f>
        <v>3689686.37</v>
      </c>
      <c r="H471" s="53">
        <f>SUM(H469:H470)</f>
        <v>11683514.59</v>
      </c>
      <c r="I471" s="53">
        <f>SUM(I469:I470)</f>
        <v>2380000</v>
      </c>
      <c r="J471" s="53">
        <f>SUM(J469:J470)</f>
        <v>908807.55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164890068.62</v>
      </c>
      <c r="G473" s="18">
        <v>4253695.87</v>
      </c>
      <c r="H473" s="18">
        <v>11046718.640000001</v>
      </c>
      <c r="I473" s="18">
        <v>1482983.57</v>
      </c>
      <c r="J473" s="18">
        <v>688564.31</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164890068.62</v>
      </c>
      <c r="G475" s="53">
        <f>SUM(G473:G474)</f>
        <v>4253695.87</v>
      </c>
      <c r="H475" s="53">
        <f>SUM(H473:H474)</f>
        <v>11046718.640000001</v>
      </c>
      <c r="I475" s="53">
        <f>SUM(I473:I474)</f>
        <v>1482983.57</v>
      </c>
      <c r="J475" s="53">
        <f>SUM(J473:J474)</f>
        <v>688564.31</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0</v>
      </c>
      <c r="G477" s="53">
        <f>(G466+G471)- G475</f>
        <v>251898.79000000004</v>
      </c>
      <c r="H477" s="53">
        <f>(H466+H471)- H475</f>
        <v>2051566.879999999</v>
      </c>
      <c r="I477" s="53">
        <f>(I466+I471)- I475</f>
        <v>894669.07000000007</v>
      </c>
      <c r="J477" s="53">
        <f>(J466+J471)- J475</f>
        <v>8925329.6500000004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48369000</v>
      </c>
      <c r="G496" s="18"/>
      <c r="H496" s="18"/>
      <c r="I496" s="18"/>
      <c r="J496" s="18"/>
      <c r="K496" s="53">
        <f>SUM(F496:J496)</f>
        <v>48369000</v>
      </c>
      <c r="L496" s="24" t="s">
        <v>288</v>
      </c>
      <c r="N496" s="265"/>
    </row>
    <row r="497" spans="1:14" s="52" customFormat="1" ht="12.2" customHeight="1" x14ac:dyDescent="0.2">
      <c r="A497" s="22" t="s">
        <v>620</v>
      </c>
      <c r="B497" s="75">
        <v>20</v>
      </c>
      <c r="C497" s="115">
        <v>7</v>
      </c>
      <c r="D497" s="2" t="s">
        <v>432</v>
      </c>
      <c r="E497" s="115"/>
      <c r="F497" s="18">
        <v>380000</v>
      </c>
      <c r="G497" s="18"/>
      <c r="H497" s="18"/>
      <c r="I497" s="18"/>
      <c r="J497" s="18"/>
      <c r="K497" s="53">
        <f t="shared" ref="K497:K504" si="35">SUM(F497:J497)</f>
        <v>380000</v>
      </c>
      <c r="L497" s="24" t="s">
        <v>288</v>
      </c>
      <c r="N497" s="265"/>
    </row>
    <row r="498" spans="1:14" s="52" customFormat="1" ht="12.2" customHeight="1" x14ac:dyDescent="0.2">
      <c r="A498" s="22" t="s">
        <v>621</v>
      </c>
      <c r="B498" s="75">
        <v>20</v>
      </c>
      <c r="C498" s="115">
        <v>8</v>
      </c>
      <c r="D498" s="2" t="s">
        <v>432</v>
      </c>
      <c r="E498" s="115"/>
      <c r="F498" s="18">
        <v>8038000</v>
      </c>
      <c r="G498" s="18"/>
      <c r="H498" s="18"/>
      <c r="I498" s="18"/>
      <c r="J498" s="18"/>
      <c r="K498" s="53">
        <f t="shared" si="35"/>
        <v>8038000</v>
      </c>
      <c r="L498" s="24" t="s">
        <v>288</v>
      </c>
      <c r="N498" s="265"/>
    </row>
    <row r="499" spans="1:14" s="52" customFormat="1" ht="12.2" customHeight="1" x14ac:dyDescent="0.2">
      <c r="A499" s="200" t="s">
        <v>622</v>
      </c>
      <c r="B499" s="201">
        <v>20</v>
      </c>
      <c r="C499" s="202">
        <v>9</v>
      </c>
      <c r="D499" s="203" t="s">
        <v>432</v>
      </c>
      <c r="E499" s="202"/>
      <c r="F499" s="204">
        <v>40711000</v>
      </c>
      <c r="G499" s="204"/>
      <c r="H499" s="204"/>
      <c r="I499" s="204"/>
      <c r="J499" s="204"/>
      <c r="K499" s="205">
        <f t="shared" si="35"/>
        <v>40711000</v>
      </c>
      <c r="L499" s="206" t="s">
        <v>288</v>
      </c>
      <c r="N499" s="265"/>
    </row>
    <row r="500" spans="1:14" s="52" customFormat="1" ht="12.2" customHeight="1" thickBot="1" x14ac:dyDescent="0.25">
      <c r="A500" s="22" t="s">
        <v>623</v>
      </c>
      <c r="B500" s="75">
        <v>20</v>
      </c>
      <c r="C500" s="115">
        <v>10</v>
      </c>
      <c r="D500" s="2" t="s">
        <v>432</v>
      </c>
      <c r="E500" s="115"/>
      <c r="F500" s="18">
        <v>8011437.7300000004</v>
      </c>
      <c r="G500" s="18"/>
      <c r="H500" s="18"/>
      <c r="I500" s="18"/>
      <c r="J500" s="18"/>
      <c r="K500" s="53">
        <f t="shared" si="35"/>
        <v>8011437.7300000004</v>
      </c>
      <c r="L500" s="24" t="s">
        <v>288</v>
      </c>
      <c r="N500" s="265"/>
    </row>
    <row r="501" spans="1:14" s="52" customFormat="1" ht="12.2" customHeight="1" thickTop="1" x14ac:dyDescent="0.2">
      <c r="A501" s="139" t="s">
        <v>624</v>
      </c>
      <c r="B501" s="44">
        <v>20</v>
      </c>
      <c r="C501" s="195">
        <v>11</v>
      </c>
      <c r="D501" s="39" t="s">
        <v>432</v>
      </c>
      <c r="E501" s="195"/>
      <c r="F501" s="42">
        <f>SUM(F499:F500)</f>
        <v>48722437.730000004</v>
      </c>
      <c r="G501" s="42">
        <f>SUM(G499:G500)</f>
        <v>0</v>
      </c>
      <c r="H501" s="42">
        <f>SUM(H499:H500)</f>
        <v>0</v>
      </c>
      <c r="I501" s="42">
        <f>SUM(I499:I500)</f>
        <v>0</v>
      </c>
      <c r="J501" s="42">
        <f>SUM(J499:J500)</f>
        <v>0</v>
      </c>
      <c r="K501" s="42">
        <f t="shared" si="35"/>
        <v>48722437.730000004</v>
      </c>
      <c r="L501" s="45" t="s">
        <v>288</v>
      </c>
      <c r="N501" s="265"/>
    </row>
    <row r="502" spans="1:14" s="52" customFormat="1" ht="12.2" customHeight="1" x14ac:dyDescent="0.2">
      <c r="A502" s="200" t="s">
        <v>651</v>
      </c>
      <c r="B502" s="201">
        <v>20</v>
      </c>
      <c r="C502" s="202">
        <v>12</v>
      </c>
      <c r="D502" s="203" t="s">
        <v>432</v>
      </c>
      <c r="E502" s="202"/>
      <c r="F502" s="204">
        <v>7829000</v>
      </c>
      <c r="G502" s="204"/>
      <c r="H502" s="204"/>
      <c r="I502" s="204"/>
      <c r="J502" s="204"/>
      <c r="K502" s="205">
        <f t="shared" si="35"/>
        <v>7829000</v>
      </c>
      <c r="L502" s="206" t="s">
        <v>288</v>
      </c>
      <c r="N502" s="265"/>
    </row>
    <row r="503" spans="1:14" s="52" customFormat="1" ht="12.2" customHeight="1" thickBot="1" x14ac:dyDescent="0.25">
      <c r="A503" s="22" t="s">
        <v>625</v>
      </c>
      <c r="B503" s="75">
        <v>20</v>
      </c>
      <c r="C503" s="115">
        <v>13</v>
      </c>
      <c r="D503" s="2" t="s">
        <v>432</v>
      </c>
      <c r="E503" s="115"/>
      <c r="F503" s="18">
        <v>1520941</v>
      </c>
      <c r="G503" s="18"/>
      <c r="H503" s="18"/>
      <c r="I503" s="18"/>
      <c r="J503" s="18"/>
      <c r="K503" s="53">
        <f t="shared" si="35"/>
        <v>1520941</v>
      </c>
      <c r="L503" s="24" t="s">
        <v>288</v>
      </c>
      <c r="N503" s="265"/>
    </row>
    <row r="504" spans="1:14" s="52" customFormat="1" ht="12.2" customHeight="1" thickTop="1" x14ac:dyDescent="0.2">
      <c r="A504" s="139" t="s">
        <v>626</v>
      </c>
      <c r="B504" s="44">
        <v>20</v>
      </c>
      <c r="C504" s="195">
        <v>14</v>
      </c>
      <c r="D504" s="39" t="s">
        <v>432</v>
      </c>
      <c r="E504" s="195"/>
      <c r="F504" s="42">
        <f>SUM(F502:F503)</f>
        <v>9349941</v>
      </c>
      <c r="G504" s="42">
        <f>SUM(G502:G503)</f>
        <v>0</v>
      </c>
      <c r="H504" s="42">
        <f>SUM(H502:H503)</f>
        <v>0</v>
      </c>
      <c r="I504" s="42">
        <f>SUM(I502:I503)</f>
        <v>0</v>
      </c>
      <c r="J504" s="42">
        <f>SUM(J502:J503)</f>
        <v>0</v>
      </c>
      <c r="K504" s="42">
        <f t="shared" si="35"/>
        <v>9349941</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9021921.8449670989</v>
      </c>
      <c r="G522" s="18">
        <v>3351422.0263940999</v>
      </c>
      <c r="H522" s="18">
        <v>769080.4050906956</v>
      </c>
      <c r="I522" s="18">
        <v>72628.866405900015</v>
      </c>
      <c r="J522" s="18">
        <v>51298.585988799998</v>
      </c>
      <c r="K522" s="18">
        <v>0</v>
      </c>
      <c r="L522" s="88">
        <f>SUM(F522:K522)</f>
        <v>13266351.728846595</v>
      </c>
      <c r="N522" s="265"/>
    </row>
    <row r="523" spans="1:14" s="52" customFormat="1" ht="12.2" customHeight="1" x14ac:dyDescent="0.2">
      <c r="A523" s="22" t="s">
        <v>634</v>
      </c>
      <c r="B523" s="105">
        <v>21</v>
      </c>
      <c r="C523" s="115">
        <v>2</v>
      </c>
      <c r="D523" s="2" t="s">
        <v>432</v>
      </c>
      <c r="E523" s="115"/>
      <c r="F523" s="18">
        <v>3262860.3738688002</v>
      </c>
      <c r="G523" s="18">
        <v>1319819.6761248</v>
      </c>
      <c r="H523" s="18">
        <v>1143318.388656301</v>
      </c>
      <c r="I523" s="18">
        <v>23041.582275199999</v>
      </c>
      <c r="J523" s="18">
        <v>20572.680806399996</v>
      </c>
      <c r="K523" s="18">
        <v>0</v>
      </c>
      <c r="L523" s="88">
        <f>SUM(F523:K523)</f>
        <v>5769612.7017315021</v>
      </c>
      <c r="N523" s="265"/>
    </row>
    <row r="524" spans="1:14" s="52" customFormat="1" ht="12.2" customHeight="1" thickBot="1" x14ac:dyDescent="0.25">
      <c r="A524" s="22" t="s">
        <v>635</v>
      </c>
      <c r="B524" s="105">
        <v>21</v>
      </c>
      <c r="C524" s="115">
        <v>3</v>
      </c>
      <c r="D524" s="2" t="s">
        <v>432</v>
      </c>
      <c r="E524" s="115"/>
      <c r="F524" s="18">
        <v>3184514.8011640995</v>
      </c>
      <c r="G524" s="18">
        <v>1364230.9374810997</v>
      </c>
      <c r="H524" s="18">
        <v>5114514.9362530038</v>
      </c>
      <c r="I524" s="18">
        <v>21591.711318900001</v>
      </c>
      <c r="J524" s="18">
        <v>21248.073204799995</v>
      </c>
      <c r="K524" s="18">
        <v>0</v>
      </c>
      <c r="L524" s="88">
        <f>SUM(F524:K524)</f>
        <v>9706100.4594219048</v>
      </c>
      <c r="N524" s="265"/>
    </row>
    <row r="525" spans="1:14" s="52" customFormat="1" ht="12.2" customHeight="1" thickTop="1" x14ac:dyDescent="0.2">
      <c r="A525" s="139" t="s">
        <v>63</v>
      </c>
      <c r="B525" s="107">
        <v>21</v>
      </c>
      <c r="C525" s="195">
        <v>4</v>
      </c>
      <c r="D525" s="196" t="s">
        <v>432</v>
      </c>
      <c r="E525" s="195"/>
      <c r="F525" s="108">
        <f>SUM(F522:F524)</f>
        <v>15469297.02</v>
      </c>
      <c r="G525" s="108">
        <f t="shared" ref="G525:L525" si="36">SUM(G522:G524)</f>
        <v>6035472.6399999997</v>
      </c>
      <c r="H525" s="108">
        <f t="shared" si="36"/>
        <v>7026913.7300000004</v>
      </c>
      <c r="I525" s="108">
        <f t="shared" si="36"/>
        <v>117262.16</v>
      </c>
      <c r="J525" s="108">
        <f t="shared" si="36"/>
        <v>93119.339999999982</v>
      </c>
      <c r="K525" s="108">
        <f t="shared" si="36"/>
        <v>0</v>
      </c>
      <c r="L525" s="89">
        <f t="shared" si="36"/>
        <v>28742064.890000001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2077946.7663990001</v>
      </c>
      <c r="G527" s="18">
        <v>935428.43497800012</v>
      </c>
      <c r="H527" s="18">
        <v>754655.35324500012</v>
      </c>
      <c r="I527" s="18">
        <v>4713.0503870000002</v>
      </c>
      <c r="J527" s="18">
        <v>5587.2721020000008</v>
      </c>
      <c r="K527" s="18">
        <v>0</v>
      </c>
      <c r="L527" s="88">
        <f>SUM(F527:K527)</f>
        <v>3778330.8771110005</v>
      </c>
      <c r="M527" s="8"/>
      <c r="N527" s="266"/>
    </row>
    <row r="528" spans="1:14" s="3" customFormat="1" ht="12.2" customHeight="1" x14ac:dyDescent="0.15">
      <c r="A528" s="22" t="s">
        <v>634</v>
      </c>
      <c r="B528" s="105">
        <v>21</v>
      </c>
      <c r="C528" s="115">
        <v>6</v>
      </c>
      <c r="D528" s="2" t="s">
        <v>432</v>
      </c>
      <c r="E528" s="115"/>
      <c r="F528" s="18">
        <v>933361.86823499994</v>
      </c>
      <c r="G528" s="18">
        <v>412478.81417000003</v>
      </c>
      <c r="H528" s="18">
        <v>345340.59742500004</v>
      </c>
      <c r="I528" s="18">
        <v>1741.5450550000003</v>
      </c>
      <c r="J528" s="18">
        <v>2556.81203</v>
      </c>
      <c r="K528" s="18">
        <v>0</v>
      </c>
      <c r="L528" s="88">
        <f>SUM(F528:K528)</f>
        <v>1695479.6369150002</v>
      </c>
      <c r="M528" s="8"/>
      <c r="N528" s="266"/>
    </row>
    <row r="529" spans="1:14" s="3" customFormat="1" ht="12.2" customHeight="1" thickBot="1" x14ac:dyDescent="0.2">
      <c r="A529" s="22" t="s">
        <v>635</v>
      </c>
      <c r="B529" s="118">
        <v>21</v>
      </c>
      <c r="C529" s="118">
        <v>7</v>
      </c>
      <c r="D529" s="2" t="s">
        <v>432</v>
      </c>
      <c r="E529" s="118"/>
      <c r="F529" s="18">
        <v>1076301.8853659998</v>
      </c>
      <c r="G529" s="18">
        <v>475648.02085199999</v>
      </c>
      <c r="H529" s="18">
        <v>398227.89932999993</v>
      </c>
      <c r="I529" s="18">
        <v>2008.2545579999999</v>
      </c>
      <c r="J529" s="18">
        <v>2948.3758680000001</v>
      </c>
      <c r="K529" s="18">
        <v>0</v>
      </c>
      <c r="L529" s="88">
        <f>SUM(F529:K529)</f>
        <v>1955134.4359739998</v>
      </c>
      <c r="M529" s="8"/>
      <c r="N529" s="266"/>
    </row>
    <row r="530" spans="1:14" s="3" customFormat="1" ht="12.2" customHeight="1" thickTop="1" x14ac:dyDescent="0.15">
      <c r="A530" s="139" t="s">
        <v>65</v>
      </c>
      <c r="B530" s="107">
        <v>21</v>
      </c>
      <c r="C530" s="107">
        <v>8</v>
      </c>
      <c r="D530" s="158" t="s">
        <v>432</v>
      </c>
      <c r="E530" s="107"/>
      <c r="F530" s="89">
        <f>SUM(F527:F529)</f>
        <v>4087610.52</v>
      </c>
      <c r="G530" s="89">
        <f t="shared" ref="G530:L530" si="37">SUM(G527:G529)</f>
        <v>1823555.27</v>
      </c>
      <c r="H530" s="89">
        <f t="shared" si="37"/>
        <v>1498223.85</v>
      </c>
      <c r="I530" s="89">
        <f t="shared" si="37"/>
        <v>8462.85</v>
      </c>
      <c r="J530" s="89">
        <f t="shared" si="37"/>
        <v>11092.460000000001</v>
      </c>
      <c r="K530" s="89">
        <f t="shared" si="37"/>
        <v>0</v>
      </c>
      <c r="L530" s="89">
        <f t="shared" si="37"/>
        <v>7428944.9500000011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127727.03712000001</v>
      </c>
      <c r="G532" s="18">
        <v>52585.584894</v>
      </c>
      <c r="H532" s="18">
        <v>18338.916117000004</v>
      </c>
      <c r="I532" s="18">
        <v>0</v>
      </c>
      <c r="J532" s="18">
        <v>0</v>
      </c>
      <c r="K532" s="18">
        <v>0</v>
      </c>
      <c r="L532" s="88">
        <f>SUM(F532:K532)</f>
        <v>198651.53813100004</v>
      </c>
      <c r="M532" s="8"/>
      <c r="N532" s="266"/>
    </row>
    <row r="533" spans="1:14" s="3" customFormat="1" ht="12.2" customHeight="1" x14ac:dyDescent="0.15">
      <c r="A533" s="22" t="s">
        <v>634</v>
      </c>
      <c r="B533" s="105">
        <v>21</v>
      </c>
      <c r="C533" s="105">
        <v>10</v>
      </c>
      <c r="D533" s="2" t="s">
        <v>432</v>
      </c>
      <c r="E533" s="105"/>
      <c r="F533" s="18">
        <v>58449.636800000007</v>
      </c>
      <c r="G533" s="18">
        <v>24063.88191</v>
      </c>
      <c r="H533" s="18">
        <v>8392.1385050000008</v>
      </c>
      <c r="I533" s="18">
        <v>0</v>
      </c>
      <c r="J533" s="18">
        <v>0</v>
      </c>
      <c r="K533" s="18">
        <v>0</v>
      </c>
      <c r="L533" s="88">
        <f>SUM(F533:K533)</f>
        <v>90905.657214999999</v>
      </c>
      <c r="M533" s="8"/>
      <c r="N533" s="266"/>
    </row>
    <row r="534" spans="1:14" s="3" customFormat="1" ht="12.2" customHeight="1" thickBot="1" x14ac:dyDescent="0.2">
      <c r="A534" s="22" t="s">
        <v>635</v>
      </c>
      <c r="B534" s="105">
        <v>21</v>
      </c>
      <c r="C534" s="105">
        <v>11</v>
      </c>
      <c r="D534" s="2" t="s">
        <v>432</v>
      </c>
      <c r="E534" s="105"/>
      <c r="F534" s="18">
        <v>67400.92607999999</v>
      </c>
      <c r="G534" s="18">
        <v>27749.153195999996</v>
      </c>
      <c r="H534" s="18">
        <v>9677.3553780000002</v>
      </c>
      <c r="I534" s="18">
        <v>0</v>
      </c>
      <c r="J534" s="18">
        <v>0</v>
      </c>
      <c r="K534" s="18">
        <v>0</v>
      </c>
      <c r="L534" s="88">
        <f>SUM(F534:K534)</f>
        <v>104827.43465399998</v>
      </c>
      <c r="M534" s="8"/>
      <c r="N534" s="266"/>
    </row>
    <row r="535" spans="1:14" s="3" customFormat="1" ht="12.2" customHeight="1" thickTop="1" x14ac:dyDescent="0.15">
      <c r="A535" s="139" t="s">
        <v>67</v>
      </c>
      <c r="B535" s="107">
        <v>21</v>
      </c>
      <c r="C535" s="107">
        <v>12</v>
      </c>
      <c r="D535" s="158" t="s">
        <v>432</v>
      </c>
      <c r="E535" s="107"/>
      <c r="F535" s="89">
        <f>SUM(F532:F534)</f>
        <v>253577.60000000003</v>
      </c>
      <c r="G535" s="89">
        <f t="shared" ref="G535:L535" si="38">SUM(G532:G534)</f>
        <v>104398.62</v>
      </c>
      <c r="H535" s="89">
        <f t="shared" si="38"/>
        <v>36408.410000000003</v>
      </c>
      <c r="I535" s="89">
        <f t="shared" si="38"/>
        <v>0</v>
      </c>
      <c r="J535" s="89">
        <f t="shared" si="38"/>
        <v>0</v>
      </c>
      <c r="K535" s="89">
        <f t="shared" si="38"/>
        <v>0</v>
      </c>
      <c r="L535" s="89">
        <f t="shared" si="38"/>
        <v>394384.63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1873309.550081</v>
      </c>
      <c r="I542" s="18"/>
      <c r="J542" s="18"/>
      <c r="K542" s="18"/>
      <c r="L542" s="88">
        <f>SUM(F542:K542)</f>
        <v>1873309.550081</v>
      </c>
      <c r="M542" s="8"/>
      <c r="N542" s="266"/>
    </row>
    <row r="543" spans="1:14" s="3" customFormat="1" ht="12.2" customHeight="1" x14ac:dyDescent="0.15">
      <c r="A543" s="22" t="s">
        <v>634</v>
      </c>
      <c r="B543" s="105">
        <v>21</v>
      </c>
      <c r="C543" s="105">
        <v>18</v>
      </c>
      <c r="D543" s="2" t="s">
        <v>432</v>
      </c>
      <c r="E543" s="105"/>
      <c r="F543" s="18"/>
      <c r="G543" s="18"/>
      <c r="H543" s="18">
        <v>892404.82618999993</v>
      </c>
      <c r="I543" s="18"/>
      <c r="J543" s="18"/>
      <c r="K543" s="18"/>
      <c r="L543" s="88">
        <f>SUM(F543:K543)</f>
        <v>892404.82618999993</v>
      </c>
      <c r="M543" s="8"/>
      <c r="N543" s="266"/>
    </row>
    <row r="544" spans="1:14" s="3" customFormat="1" ht="12.2" customHeight="1" thickBot="1" x14ac:dyDescent="0.2">
      <c r="A544" s="22" t="s">
        <v>635</v>
      </c>
      <c r="B544" s="105">
        <v>21</v>
      </c>
      <c r="C544" s="105">
        <v>19</v>
      </c>
      <c r="D544" s="2" t="s">
        <v>432</v>
      </c>
      <c r="E544" s="105"/>
      <c r="F544" s="18"/>
      <c r="G544" s="18"/>
      <c r="H544" s="18">
        <v>936839.92126999993</v>
      </c>
      <c r="I544" s="18"/>
      <c r="J544" s="18"/>
      <c r="K544" s="18"/>
      <c r="L544" s="88">
        <f>SUM(F544:K544)</f>
        <v>936839.92126999993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3702554.2975409999</v>
      </c>
      <c r="I545" s="193">
        <f t="shared" si="40"/>
        <v>0</v>
      </c>
      <c r="J545" s="193">
        <f t="shared" si="40"/>
        <v>0</v>
      </c>
      <c r="K545" s="193">
        <f t="shared" si="40"/>
        <v>0</v>
      </c>
      <c r="L545" s="193">
        <f t="shared" si="40"/>
        <v>3702554.2975409999</v>
      </c>
      <c r="M545" s="8"/>
      <c r="N545" s="266"/>
    </row>
    <row r="546" spans="1:14" s="3" customFormat="1" ht="12.2" customHeight="1" thickTop="1" x14ac:dyDescent="0.15">
      <c r="A546" s="98" t="s">
        <v>72</v>
      </c>
      <c r="B546" s="107">
        <v>21</v>
      </c>
      <c r="C546" s="107">
        <v>21</v>
      </c>
      <c r="D546" s="158" t="s">
        <v>432</v>
      </c>
      <c r="E546" s="107"/>
      <c r="F546" s="89">
        <f>F525+F530+F535+F540+F545</f>
        <v>19810485.140000001</v>
      </c>
      <c r="G546" s="89">
        <f t="shared" ref="G546:L546" si="41">G525+G530+G535+G540+G545</f>
        <v>7963426.5300000003</v>
      </c>
      <c r="H546" s="89">
        <f t="shared" si="41"/>
        <v>12264100.287541</v>
      </c>
      <c r="I546" s="89">
        <f t="shared" si="41"/>
        <v>125725.01000000001</v>
      </c>
      <c r="J546" s="89">
        <f t="shared" si="41"/>
        <v>104211.79999999999</v>
      </c>
      <c r="K546" s="89">
        <f t="shared" si="41"/>
        <v>0</v>
      </c>
      <c r="L546" s="89">
        <f t="shared" si="41"/>
        <v>40267948.767541006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13266351.728846595</v>
      </c>
      <c r="G550" s="87">
        <f>L527</f>
        <v>3778330.8771110005</v>
      </c>
      <c r="H550" s="87">
        <f>L532</f>
        <v>198651.53813100004</v>
      </c>
      <c r="I550" s="87">
        <f>L537</f>
        <v>0</v>
      </c>
      <c r="J550" s="87">
        <f>L542</f>
        <v>1873309.550081</v>
      </c>
      <c r="K550" s="87">
        <f>SUM(F550:J550)</f>
        <v>19116643.694169592</v>
      </c>
      <c r="L550" s="24" t="s">
        <v>288</v>
      </c>
      <c r="M550" s="8"/>
      <c r="N550" s="266"/>
    </row>
    <row r="551" spans="1:14" s="3" customFormat="1" ht="12.2" customHeight="1" x14ac:dyDescent="0.15">
      <c r="A551" s="22" t="s">
        <v>634</v>
      </c>
      <c r="B551" s="75">
        <v>21</v>
      </c>
      <c r="C551" s="75">
        <v>23</v>
      </c>
      <c r="D551" s="2" t="s">
        <v>432</v>
      </c>
      <c r="E551" s="75"/>
      <c r="F551" s="87">
        <f>L523</f>
        <v>5769612.7017315021</v>
      </c>
      <c r="G551" s="87">
        <f>L528</f>
        <v>1695479.6369150002</v>
      </c>
      <c r="H551" s="87">
        <f>L533</f>
        <v>90905.657214999999</v>
      </c>
      <c r="I551" s="87">
        <f>L538</f>
        <v>0</v>
      </c>
      <c r="J551" s="87">
        <f>L543</f>
        <v>892404.82618999993</v>
      </c>
      <c r="K551" s="87">
        <f>SUM(F551:J551)</f>
        <v>8448402.8220515028</v>
      </c>
      <c r="L551" s="24" t="s">
        <v>288</v>
      </c>
      <c r="M551" s="8"/>
      <c r="N551" s="266"/>
    </row>
    <row r="552" spans="1:14" s="3" customFormat="1" ht="12.2" customHeight="1" thickBot="1" x14ac:dyDescent="0.2">
      <c r="A552" s="22" t="s">
        <v>635</v>
      </c>
      <c r="B552" s="75">
        <v>21</v>
      </c>
      <c r="C552" s="75">
        <v>24</v>
      </c>
      <c r="D552" s="2" t="s">
        <v>432</v>
      </c>
      <c r="E552" s="75"/>
      <c r="F552" s="87">
        <f>L524</f>
        <v>9706100.4594219048</v>
      </c>
      <c r="G552" s="87">
        <f>L529</f>
        <v>1955134.4359739998</v>
      </c>
      <c r="H552" s="87">
        <f>L534</f>
        <v>104827.43465399998</v>
      </c>
      <c r="I552" s="87">
        <f>L539</f>
        <v>0</v>
      </c>
      <c r="J552" s="87">
        <f>L544</f>
        <v>936839.92126999993</v>
      </c>
      <c r="K552" s="87">
        <f>SUM(F552:J552)</f>
        <v>12702902.251319904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28742064.890000001</v>
      </c>
      <c r="G553" s="89">
        <f t="shared" si="42"/>
        <v>7428944.9500000011</v>
      </c>
      <c r="H553" s="89">
        <f t="shared" si="42"/>
        <v>394384.63</v>
      </c>
      <c r="I553" s="89">
        <f t="shared" si="42"/>
        <v>0</v>
      </c>
      <c r="J553" s="89">
        <f t="shared" si="42"/>
        <v>3702554.2975409999</v>
      </c>
      <c r="K553" s="89">
        <f t="shared" si="42"/>
        <v>40267948.767540999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1128546.2262500001</v>
      </c>
      <c r="G563" s="18">
        <v>494573.31737499998</v>
      </c>
      <c r="H563" s="18">
        <v>2969.7119999999995</v>
      </c>
      <c r="I563" s="18">
        <v>35659.637875</v>
      </c>
      <c r="J563" s="18">
        <v>41656.666249999995</v>
      </c>
      <c r="K563" s="18">
        <v>0</v>
      </c>
      <c r="L563" s="88">
        <f>SUM(F563:K563)</f>
        <v>1703405.55975</v>
      </c>
      <c r="M563" s="8"/>
      <c r="N563" s="266"/>
    </row>
    <row r="564" spans="1:14" s="3" customFormat="1" ht="12.2" customHeight="1" x14ac:dyDescent="0.15">
      <c r="A564" s="22" t="s">
        <v>634</v>
      </c>
      <c r="B564" s="105">
        <v>22</v>
      </c>
      <c r="C564" s="115">
        <v>6</v>
      </c>
      <c r="D564" s="2" t="s">
        <v>432</v>
      </c>
      <c r="E564" s="115"/>
      <c r="F564" s="18">
        <v>389822.59160999994</v>
      </c>
      <c r="G564" s="18">
        <v>180568.130863</v>
      </c>
      <c r="H564" s="18">
        <v>1458.4907519999997</v>
      </c>
      <c r="I564" s="18">
        <v>16876.387330999998</v>
      </c>
      <c r="J564" s="18">
        <v>20458.503209999999</v>
      </c>
      <c r="K564" s="18">
        <v>0</v>
      </c>
      <c r="L564" s="88">
        <f>SUM(F564:K564)</f>
        <v>609184.1037659999</v>
      </c>
      <c r="M564" s="8"/>
      <c r="N564" s="266"/>
    </row>
    <row r="565" spans="1:14" s="3" customFormat="1" ht="12.2" customHeight="1" thickBot="1" x14ac:dyDescent="0.2">
      <c r="A565" s="22" t="s">
        <v>635</v>
      </c>
      <c r="B565" s="105">
        <v>22</v>
      </c>
      <c r="C565" s="118">
        <v>7</v>
      </c>
      <c r="D565" s="2" t="s">
        <v>432</v>
      </c>
      <c r="E565" s="118"/>
      <c r="F565" s="18">
        <v>596546.83213999995</v>
      </c>
      <c r="G565" s="18">
        <v>295216.99176199996</v>
      </c>
      <c r="H565" s="18">
        <v>1366.357248</v>
      </c>
      <c r="I565" s="18">
        <v>15085.784794000001</v>
      </c>
      <c r="J565" s="18">
        <v>19166.130540000002</v>
      </c>
      <c r="K565" s="18">
        <v>0</v>
      </c>
      <c r="L565" s="88">
        <f>SUM(F565:K565)</f>
        <v>927382.09648399998</v>
      </c>
      <c r="M565" s="8"/>
      <c r="N565" s="266"/>
    </row>
    <row r="566" spans="1:14" s="3" customFormat="1" ht="12.2" customHeight="1" thickTop="1" x14ac:dyDescent="0.15">
      <c r="A566" s="139" t="s">
        <v>65</v>
      </c>
      <c r="B566" s="107">
        <v>22</v>
      </c>
      <c r="C566" s="107">
        <v>8</v>
      </c>
      <c r="D566" s="196" t="s">
        <v>432</v>
      </c>
      <c r="E566" s="107"/>
      <c r="F566" s="89">
        <f t="shared" ref="F566:L566" si="44">SUM(F563:F565)</f>
        <v>2114915.65</v>
      </c>
      <c r="G566" s="89">
        <f t="shared" si="44"/>
        <v>970358.44</v>
      </c>
      <c r="H566" s="89">
        <f t="shared" si="44"/>
        <v>5794.5599999999995</v>
      </c>
      <c r="I566" s="89">
        <f t="shared" si="44"/>
        <v>67621.81</v>
      </c>
      <c r="J566" s="89">
        <f t="shared" si="44"/>
        <v>81281.299999999988</v>
      </c>
      <c r="K566" s="89">
        <f t="shared" si="44"/>
        <v>0</v>
      </c>
      <c r="L566" s="89">
        <f t="shared" si="44"/>
        <v>3239971.76</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2114915.65</v>
      </c>
      <c r="G572" s="89">
        <f t="shared" ref="G572:L572" si="46">G561+G566+G571</f>
        <v>970358.44</v>
      </c>
      <c r="H572" s="89">
        <f t="shared" si="46"/>
        <v>5794.5599999999995</v>
      </c>
      <c r="I572" s="89">
        <f t="shared" si="46"/>
        <v>67621.81</v>
      </c>
      <c r="J572" s="89">
        <f t="shared" si="46"/>
        <v>81281.299999999988</v>
      </c>
      <c r="K572" s="89">
        <f t="shared" si="46"/>
        <v>0</v>
      </c>
      <c r="L572" s="89">
        <f t="shared" si="46"/>
        <v>3239971.76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43617.96</v>
      </c>
      <c r="G580" s="18">
        <v>1195</v>
      </c>
      <c r="H580" s="18">
        <v>783781.89</v>
      </c>
      <c r="I580" s="87">
        <f t="shared" si="47"/>
        <v>828594.85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689849.92</v>
      </c>
      <c r="G583" s="18">
        <v>1142200.74</v>
      </c>
      <c r="H583" s="18">
        <v>4399480.1399999997</v>
      </c>
      <c r="I583" s="87">
        <f t="shared" si="47"/>
        <v>6231530.7999999998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14948.4</v>
      </c>
      <c r="I585" s="87">
        <f t="shared" si="47"/>
        <v>14948.4</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1226336.6894589993</v>
      </c>
      <c r="I592" s="18">
        <v>620676.49812999985</v>
      </c>
      <c r="J592" s="18">
        <v>1135544.2148700003</v>
      </c>
      <c r="K592" s="104">
        <f t="shared" ref="K592:K598" si="48">SUM(H592:J592)</f>
        <v>2982557.4024589993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1873309.550081</v>
      </c>
      <c r="I593" s="18">
        <v>892404.82618999993</v>
      </c>
      <c r="J593" s="18">
        <v>936839.92126999993</v>
      </c>
      <c r="K593" s="104">
        <f t="shared" si="48"/>
        <v>3702554.2975409999</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1116.25</v>
      </c>
      <c r="K594" s="104">
        <f t="shared" si="48"/>
        <v>1116.25</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19635.580000000005</v>
      </c>
      <c r="J595" s="18">
        <v>129872.65000000001</v>
      </c>
      <c r="K595" s="104">
        <f t="shared" si="48"/>
        <v>149508.23000000001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v>0</v>
      </c>
      <c r="J596" s="18">
        <v>6750</v>
      </c>
      <c r="K596" s="104">
        <f t="shared" si="48"/>
        <v>6750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3099646.2395399995</v>
      </c>
      <c r="I599" s="108">
        <f>SUM(I592:I598)</f>
        <v>1532716.9043199997</v>
      </c>
      <c r="J599" s="108">
        <f>SUM(J592:J598)</f>
        <v>2210123.03614</v>
      </c>
      <c r="K599" s="108">
        <f>SUM(K592:K598)</f>
        <v>6842486.1799999997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1076975.9216900002</v>
      </c>
      <c r="I605" s="18">
        <v>508263.87152000004</v>
      </c>
      <c r="J605" s="18">
        <v>920218.19678999996</v>
      </c>
      <c r="K605" s="104">
        <f>SUM(H605:J605)</f>
        <v>2505457.9900000002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1076975.9216900002</v>
      </c>
      <c r="I606" s="108">
        <f>SUM(I603:I605)</f>
        <v>508263.87152000004</v>
      </c>
      <c r="J606" s="108">
        <f>SUM(J603:J605)</f>
        <v>920218.19678999996</v>
      </c>
      <c r="K606" s="108">
        <f>SUM(K603:K605)</f>
        <v>2505457.9900000002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148823.766</v>
      </c>
      <c r="G612" s="18">
        <v>12743.6828</v>
      </c>
      <c r="H612" s="18">
        <v>116098.46144</v>
      </c>
      <c r="I612" s="18">
        <v>9502.2148799999995</v>
      </c>
      <c r="J612" s="18">
        <v>0</v>
      </c>
      <c r="K612" s="18">
        <v>0</v>
      </c>
      <c r="L612" s="88">
        <f>SUM(F612:K612)</f>
        <v>287168.12511999998</v>
      </c>
      <c r="M612" s="8"/>
      <c r="N612" s="266"/>
    </row>
    <row r="613" spans="1:14" s="3" customFormat="1" ht="12.2" customHeight="1" x14ac:dyDescent="0.15">
      <c r="A613" s="22" t="s">
        <v>634</v>
      </c>
      <c r="B613" s="75">
        <v>23</v>
      </c>
      <c r="C613" s="75">
        <v>14</v>
      </c>
      <c r="D613" s="2" t="s">
        <v>432</v>
      </c>
      <c r="E613" s="75"/>
      <c r="F613" s="18">
        <v>11890.808999999999</v>
      </c>
      <c r="G613" s="18">
        <v>1450.9336999999998</v>
      </c>
      <c r="H613" s="18">
        <v>26649.589509999998</v>
      </c>
      <c r="I613" s="18">
        <v>1183.1020199999998</v>
      </c>
      <c r="J613" s="18">
        <v>0</v>
      </c>
      <c r="K613" s="18">
        <v>0</v>
      </c>
      <c r="L613" s="88">
        <f>SUM(F613:K613)</f>
        <v>41174.434229999992</v>
      </c>
      <c r="M613" s="8"/>
      <c r="N613" s="266"/>
    </row>
    <row r="614" spans="1:14" s="3" customFormat="1" ht="12.2" customHeight="1" thickBot="1" x14ac:dyDescent="0.2">
      <c r="A614" s="22" t="s">
        <v>645</v>
      </c>
      <c r="B614" s="75">
        <v>23</v>
      </c>
      <c r="C614" s="75">
        <v>15</v>
      </c>
      <c r="D614" s="2" t="s">
        <v>432</v>
      </c>
      <c r="E614" s="75"/>
      <c r="F614" s="18">
        <v>21650.895</v>
      </c>
      <c r="G614" s="18">
        <v>2641.8734999999997</v>
      </c>
      <c r="H614" s="18">
        <v>48523.819049999998</v>
      </c>
      <c r="I614" s="18">
        <v>2154.2030999999997</v>
      </c>
      <c r="J614" s="18">
        <v>0</v>
      </c>
      <c r="K614" s="18">
        <v>0</v>
      </c>
      <c r="L614" s="88">
        <f>SUM(F614:K614)</f>
        <v>74970.790649999995</v>
      </c>
      <c r="M614" s="8"/>
      <c r="N614" s="266"/>
    </row>
    <row r="615" spans="1:14" s="3" customFormat="1" ht="12.2" customHeight="1" thickTop="1" x14ac:dyDescent="0.15">
      <c r="A615" s="98" t="s">
        <v>340</v>
      </c>
      <c r="B615" s="107">
        <v>23</v>
      </c>
      <c r="C615" s="107">
        <v>16</v>
      </c>
      <c r="D615" s="39" t="s">
        <v>432</v>
      </c>
      <c r="E615" s="107"/>
      <c r="F615" s="108">
        <f t="shared" ref="F615:L615" si="49">SUM(F612:F614)</f>
        <v>182365.47</v>
      </c>
      <c r="G615" s="108">
        <f t="shared" si="49"/>
        <v>16836.489999999998</v>
      </c>
      <c r="H615" s="108">
        <f t="shared" si="49"/>
        <v>191271.87</v>
      </c>
      <c r="I615" s="108">
        <f t="shared" si="49"/>
        <v>12839.52</v>
      </c>
      <c r="J615" s="108">
        <f t="shared" si="49"/>
        <v>0</v>
      </c>
      <c r="K615" s="108">
        <f t="shared" si="49"/>
        <v>0</v>
      </c>
      <c r="L615" s="89">
        <f t="shared" si="49"/>
        <v>403313.35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256902.54</v>
      </c>
      <c r="H619" s="109">
        <f>SUM(G52)</f>
        <v>256902.54000000004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3901312.0599999996</v>
      </c>
      <c r="H620" s="109">
        <f>SUM(H52)</f>
        <v>3901312.0599999996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894669.07</v>
      </c>
      <c r="H621" s="109">
        <f>SUM(I52)</f>
        <v>894669.07000000007</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9095485.2299999986</v>
      </c>
      <c r="H622" s="109">
        <f>SUM(J52)</f>
        <v>9095485.2299999986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251898.79000000004</v>
      </c>
      <c r="H624" s="109">
        <f>G477</f>
        <v>251898.79000000004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2051566.88</v>
      </c>
      <c r="H625" s="109">
        <f>H477</f>
        <v>2051566.879999999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894669.07000000007</v>
      </c>
      <c r="H626" s="109">
        <f>I477</f>
        <v>894669.07000000007</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8925329.6499999985</v>
      </c>
      <c r="H627" s="109">
        <f>J477</f>
        <v>8925329.6500000004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164890068.62</v>
      </c>
      <c r="H628" s="104">
        <f>SUM(F469)</f>
        <v>164890068.62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3689686.37</v>
      </c>
      <c r="H629" s="104">
        <f>SUM(G469)</f>
        <v>3689686.37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11683514.59</v>
      </c>
      <c r="H630" s="104">
        <f>SUM(H469)</f>
        <v>11683514.59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2380000</v>
      </c>
      <c r="H631" s="104">
        <f>SUM(I469)</f>
        <v>2380000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908807.55</v>
      </c>
      <c r="H632" s="104">
        <f>SUM(J469)</f>
        <v>908807.55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164890068.61999997</v>
      </c>
      <c r="H633" s="104">
        <f>SUM(F473)</f>
        <v>164890068.62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11046718.640000001</v>
      </c>
      <c r="H634" s="104">
        <f>SUM(H473)</f>
        <v>11046718.640000001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1629018.2200000002</v>
      </c>
      <c r="H635" s="104">
        <f>I370</f>
        <v>1629018.22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4253695.87</v>
      </c>
      <c r="H636" s="104">
        <f>SUM(G473)</f>
        <v>4253695.87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1482983.57</v>
      </c>
      <c r="H637" s="104">
        <f>SUM(I473)</f>
        <v>1482983.57</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908807.55</v>
      </c>
      <c r="H638" s="164">
        <f>SUM(J469)</f>
        <v>908807.55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688564.30999999994</v>
      </c>
      <c r="H639" s="164">
        <f>SUM(J473)</f>
        <v>688564.31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1015727.98</v>
      </c>
      <c r="H640" s="104">
        <f>SUM(F462)</f>
        <v>1015727.98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1099030.28</v>
      </c>
      <c r="H641" s="104">
        <f>SUM(G462)</f>
        <v>1099030.28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6980726.9699999997</v>
      </c>
      <c r="H642" s="104">
        <f>SUM(H462)</f>
        <v>6980726.9699999997</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9095485.2299999986</v>
      </c>
      <c r="H643" s="104">
        <f>SUM(I462)</f>
        <v>9095485.2299999986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528347.31000000006</v>
      </c>
      <c r="H645" s="104">
        <f>H409</f>
        <v>528347.31000000006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140000</v>
      </c>
      <c r="H646" s="104">
        <f>G409</f>
        <v>140000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908807.55</v>
      </c>
      <c r="H647" s="104">
        <f>L409</f>
        <v>908807.55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6842486.1799999997</v>
      </c>
      <c r="H648" s="104">
        <f>L209+L227+L245</f>
        <v>6842486.1799999997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2505457.9900000002</v>
      </c>
      <c r="H649" s="104">
        <f>(J258+J339)-(J256+J337)</f>
        <v>2505457.9900000002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3099646.2395399995</v>
      </c>
      <c r="H650" s="104">
        <f>H599</f>
        <v>3099646.2395399995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1532716.90432</v>
      </c>
      <c r="H651" s="104">
        <f>I599</f>
        <v>1532716.9043199997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2210123.03614</v>
      </c>
      <c r="H652" s="104">
        <f>J599</f>
        <v>2210123.03614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2000000</v>
      </c>
      <c r="H655" s="104">
        <f>K266+K347</f>
        <v>2000000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140000</v>
      </c>
      <c r="H656" s="104">
        <f>K267+K348</f>
        <v>140000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79610581.853325084</v>
      </c>
      <c r="G661" s="19">
        <f>(L230+L310+L360)</f>
        <v>36950873.954892799</v>
      </c>
      <c r="H661" s="19">
        <f>(L248+L329+L361)</f>
        <v>51085574.891782105</v>
      </c>
      <c r="I661" s="19">
        <f>SUM(F661:H661)</f>
        <v>167647030.69999999</v>
      </c>
      <c r="J661" s="13"/>
      <c r="K661" s="13"/>
      <c r="L661" s="13"/>
      <c r="M661" s="9"/>
    </row>
    <row r="662" spans="1:13" s="3" customFormat="1" ht="12.2" customHeight="1" x14ac:dyDescent="0.2">
      <c r="A662" s="1" t="s">
        <v>127</v>
      </c>
      <c r="F662" s="19">
        <f>(L359/IF(SUM(L359:L361)=0,1,SUM(L359:L361))*(SUM(G97:G110)))</f>
        <v>575613.08217425831</v>
      </c>
      <c r="G662" s="19">
        <f>(L360/IF(SUM(L359:L361)=0,1,SUM(L359:L361))*(SUM(G97:G110)))</f>
        <v>321314.2197697009</v>
      </c>
      <c r="H662" s="19">
        <f>(L361/IF(SUM(L359:L361)=0,1,SUM(L359:L361))*(SUM(G97:G110)))</f>
        <v>475083.42805604084</v>
      </c>
      <c r="I662" s="19">
        <f>SUM(F662:H662)</f>
        <v>1372010.73</v>
      </c>
      <c r="J662"/>
      <c r="K662" s="13"/>
      <c r="L662" s="13"/>
      <c r="M662" s="8"/>
    </row>
    <row r="663" spans="1:13" s="3" customFormat="1" ht="12.2" customHeight="1" x14ac:dyDescent="0.2">
      <c r="A663" s="1" t="s">
        <v>128</v>
      </c>
      <c r="F663" s="19">
        <f>(L209+L288)-(J209+J288)</f>
        <v>3120774.0163640995</v>
      </c>
      <c r="G663" s="19">
        <f>(L227+L307)-(J227+J307)</f>
        <v>1542164.5694847999</v>
      </c>
      <c r="H663" s="19">
        <f>(L245+L326)-(J245+J326)</f>
        <v>2225232.1641511</v>
      </c>
      <c r="I663" s="19">
        <f>SUM(F663:H663)</f>
        <v>6888170.75</v>
      </c>
      <c r="J663"/>
      <c r="K663" s="13"/>
      <c r="L663" s="13"/>
      <c r="M663" s="9"/>
    </row>
    <row r="664" spans="1:13" s="3" customFormat="1" ht="12.2" customHeight="1" x14ac:dyDescent="0.15">
      <c r="A664" s="198" t="s">
        <v>129</v>
      </c>
      <c r="B664" s="169"/>
      <c r="C664" s="169"/>
      <c r="D664" s="169"/>
      <c r="E664" s="169"/>
      <c r="F664" s="199">
        <f>SUM(F576:F588)+SUM(H603:H605)+SUM(L612)</f>
        <v>2097611.9268100001</v>
      </c>
      <c r="G664" s="199">
        <f>SUM(G576:G588)+SUM(I603:I605)+L613</f>
        <v>1692834.04575</v>
      </c>
      <c r="H664" s="199">
        <f>SUM(H576:H588)+SUM(J603:J605)+L614</f>
        <v>6193399.41744</v>
      </c>
      <c r="I664" s="19">
        <f>SUM(F664:H664)</f>
        <v>9983845.3900000006</v>
      </c>
      <c r="J664" s="13"/>
      <c r="K664" s="13"/>
      <c r="L664" s="13"/>
      <c r="M664" s="9"/>
    </row>
    <row r="665" spans="1:13" s="3" customFormat="1" ht="12.2" customHeight="1" x14ac:dyDescent="0.15">
      <c r="A665" s="1" t="s">
        <v>130</v>
      </c>
      <c r="F665" s="19">
        <f>F661-SUM(F662:F664)</f>
        <v>73816582.827976733</v>
      </c>
      <c r="G665" s="19">
        <f>G661-SUM(G662:G664)</f>
        <v>33394561.119888298</v>
      </c>
      <c r="H665" s="19">
        <f>H661-SUM(H662:H664)</f>
        <v>42191859.882134967</v>
      </c>
      <c r="I665" s="19">
        <f>I661-SUM(I662:I664)</f>
        <v>149403003.82999998</v>
      </c>
      <c r="J665" s="13"/>
      <c r="K665" s="13"/>
      <c r="L665" s="13"/>
      <c r="M665" s="8"/>
    </row>
    <row r="666" spans="1:13" s="3" customFormat="1" ht="12.2" customHeight="1" x14ac:dyDescent="0.2">
      <c r="A666" s="1" t="s">
        <v>131</v>
      </c>
      <c r="F666" s="246">
        <f>152.24+740.97+3950.16</f>
        <v>4843.37</v>
      </c>
      <c r="G666" s="247">
        <v>2452.1</v>
      </c>
      <c r="H666" s="247">
        <v>3488.54</v>
      </c>
      <c r="I666" s="19">
        <f>SUM(F666:H666)</f>
        <v>10784.009999999998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15240.75</v>
      </c>
      <c r="G668" s="19">
        <f>ROUND(G665/G666,2)</f>
        <v>13618.76</v>
      </c>
      <c r="H668" s="19">
        <f>ROUND(H665/H666,2)</f>
        <v>12094.42</v>
      </c>
      <c r="I668" s="19">
        <f>ROUND(I665/I666,2)</f>
        <v>13854.12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17.89</v>
      </c>
      <c r="I671" s="19">
        <f>SUM(F671:H671)</f>
        <v>17.89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15240.75</v>
      </c>
      <c r="G673" s="19">
        <f>ROUND((G665+G670)/(G666+G671),2)</f>
        <v>13618.76</v>
      </c>
      <c r="H673" s="19">
        <f>ROUND((H665+H670)/(H666+H671),2)</f>
        <v>12032.71</v>
      </c>
      <c r="I673" s="19">
        <f>ROUND((I665+I670)/(I666+I671),2)</f>
        <v>13831.18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dataRefs count="1">
      <dataRef ref="F9:L673" sheet="DOE25"/>
    </dataRefs>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Nashua</v>
      </c>
      <c r="C5" s="344"/>
      <c r="D5" s="344"/>
      <c r="E5" s="344"/>
      <c r="F5" s="344"/>
    </row>
    <row r="8" spans="1:9" ht="18" x14ac:dyDescent="0.25">
      <c r="A8" s="323" t="s">
        <v>1591</v>
      </c>
      <c r="F8" s="330" t="s">
        <v>1609</v>
      </c>
    </row>
    <row r="9" spans="1:9" ht="15" x14ac:dyDescent="0.2">
      <c r="A9" s="321" t="s">
        <v>1592</v>
      </c>
      <c r="B9" s="324">
        <f>'DOE25'!G97</f>
        <v>1372010.73</v>
      </c>
      <c r="F9" s="321" t="s">
        <v>1605</v>
      </c>
    </row>
    <row r="10" spans="1:9" ht="15" x14ac:dyDescent="0.2">
      <c r="A10" s="321" t="s">
        <v>1593</v>
      </c>
      <c r="B10" s="324">
        <f>'DOE25'!G112-'DOE25'!G97</f>
        <v>6907</v>
      </c>
      <c r="F10" s="321" t="s">
        <v>1606</v>
      </c>
    </row>
    <row r="11" spans="1:9" ht="15" x14ac:dyDescent="0.2">
      <c r="A11" s="321" t="s">
        <v>1594</v>
      </c>
      <c r="B11" s="324">
        <f>'DOE25'!G140</f>
        <v>80485.91</v>
      </c>
      <c r="F11" s="321" t="s">
        <v>1607</v>
      </c>
    </row>
    <row r="12" spans="1:9" ht="15" x14ac:dyDescent="0.2">
      <c r="A12" s="321" t="s">
        <v>1595</v>
      </c>
      <c r="B12" s="324">
        <f>'DOE25'!G170</f>
        <v>2230282.73</v>
      </c>
      <c r="F12" s="321" t="s">
        <v>1608</v>
      </c>
    </row>
    <row r="13" spans="1:9" ht="15" x14ac:dyDescent="0.2">
      <c r="A13" s="321" t="s">
        <v>1596</v>
      </c>
      <c r="B13" s="324">
        <f>'DOE25'!G193-'DOE25'!G180</f>
        <v>0</v>
      </c>
      <c r="F13" s="321" t="s">
        <v>1618</v>
      </c>
    </row>
    <row r="14" spans="1:9" ht="18" x14ac:dyDescent="0.25">
      <c r="A14" s="323" t="s">
        <v>732</v>
      </c>
      <c r="B14" s="325">
        <f>SUM(B9:B13)</f>
        <v>3689686.37</v>
      </c>
    </row>
    <row r="16" spans="1:9" ht="18" x14ac:dyDescent="0.25">
      <c r="A16" s="323" t="s">
        <v>786</v>
      </c>
      <c r="F16" s="330" t="s">
        <v>1610</v>
      </c>
    </row>
    <row r="17" spans="1:6" ht="15" x14ac:dyDescent="0.2">
      <c r="A17" s="321" t="s">
        <v>1597</v>
      </c>
      <c r="B17" s="324">
        <f>'DOE25'!L363-'DOE25'!L362</f>
        <v>4253695.87</v>
      </c>
      <c r="F17" s="321" t="s">
        <v>1611</v>
      </c>
    </row>
    <row r="18" spans="1:6" ht="15" x14ac:dyDescent="0.2">
      <c r="A18" s="321" t="s">
        <v>1598</v>
      </c>
      <c r="B18" s="338"/>
      <c r="F18" s="330" t="s">
        <v>1637</v>
      </c>
    </row>
    <row r="19" spans="1:6" ht="18" x14ac:dyDescent="0.25">
      <c r="A19" s="323" t="s">
        <v>725</v>
      </c>
      <c r="B19" s="325">
        <f>SUM(B17:B18)</f>
        <v>4253695.87</v>
      </c>
    </row>
    <row r="21" spans="1:6" ht="18.75" thickBot="1" x14ac:dyDescent="0.3">
      <c r="A21" s="323" t="s">
        <v>1599</v>
      </c>
    </row>
    <row r="22" spans="1:6" ht="18.75" thickTop="1" x14ac:dyDescent="0.25">
      <c r="A22" s="323" t="s">
        <v>1600</v>
      </c>
      <c r="B22" s="329">
        <f>B14-B19</f>
        <v>-564009.5</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815908.29</v>
      </c>
      <c r="F31" s="321" t="s">
        <v>1615</v>
      </c>
    </row>
    <row r="33" spans="1:6" ht="15" x14ac:dyDescent="0.2">
      <c r="A33" s="321" t="s">
        <v>1641</v>
      </c>
      <c r="B33" s="324">
        <f>'DOE25'!G477</f>
        <v>251898.79000000004</v>
      </c>
      <c r="F33" s="321" t="s">
        <v>1616</v>
      </c>
    </row>
    <row r="36" spans="1:6" ht="15" x14ac:dyDescent="0.2">
      <c r="A36" s="321" t="s">
        <v>1602</v>
      </c>
      <c r="B36" s="339">
        <v>274236.77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9" sqref="C2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Nashua</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42665305.880000003</v>
      </c>
      <c r="C9" s="229">
        <f>'DOE25'!G198+'DOE25'!G216+'DOE25'!G234+'DOE25'!G277+'DOE25'!G296+'DOE25'!G315</f>
        <v>19511879.639999997</v>
      </c>
    </row>
    <row r="10" spans="1:3" x14ac:dyDescent="0.2">
      <c r="A10" t="s">
        <v>775</v>
      </c>
      <c r="B10" s="240">
        <v>40479545.030000001</v>
      </c>
      <c r="C10" s="240">
        <v>18512278.170000002</v>
      </c>
    </row>
    <row r="11" spans="1:3" x14ac:dyDescent="0.2">
      <c r="A11" t="s">
        <v>776</v>
      </c>
      <c r="B11" s="240">
        <v>1180983.44</v>
      </c>
      <c r="C11" s="240">
        <v>540092.38</v>
      </c>
    </row>
    <row r="12" spans="1:3" x14ac:dyDescent="0.2">
      <c r="A12" t="s">
        <v>777</v>
      </c>
      <c r="B12" s="240">
        <v>1004777.41</v>
      </c>
      <c r="C12" s="240">
        <v>459509.09</v>
      </c>
    </row>
    <row r="13" spans="1:3" x14ac:dyDescent="0.2">
      <c r="A13" t="str">
        <f>IF(B9=B13,IF(C9=C13,"Check Total OK","Check Total Error"),"Check Total Error")</f>
        <v>Check Total OK</v>
      </c>
      <c r="B13" s="231">
        <f>SUM(B10:B12)</f>
        <v>42665305.879999995</v>
      </c>
      <c r="C13" s="231">
        <f>SUM(C10:C12)</f>
        <v>19511879.640000001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18497749.560000002</v>
      </c>
      <c r="C18" s="229">
        <f>'DOE25'!G199+'DOE25'!G217+'DOE25'!G235+'DOE25'!G278+'DOE25'!G297+'DOE25'!G316</f>
        <v>7205879.0899999999</v>
      </c>
    </row>
    <row r="19" spans="1:3" x14ac:dyDescent="0.2">
      <c r="A19" t="s">
        <v>775</v>
      </c>
      <c r="B19" s="240">
        <v>10378763.02</v>
      </c>
      <c r="C19" s="240">
        <v>4043092.44</v>
      </c>
    </row>
    <row r="20" spans="1:3" x14ac:dyDescent="0.2">
      <c r="A20" t="s">
        <v>776</v>
      </c>
      <c r="B20" s="240">
        <v>7369442.5599999996</v>
      </c>
      <c r="C20" s="240">
        <v>2870798.52</v>
      </c>
    </row>
    <row r="21" spans="1:3" x14ac:dyDescent="0.2">
      <c r="A21" t="s">
        <v>777</v>
      </c>
      <c r="B21" s="240">
        <v>749543.98</v>
      </c>
      <c r="C21" s="240">
        <v>291988.13</v>
      </c>
    </row>
    <row r="22" spans="1:3" x14ac:dyDescent="0.2">
      <c r="A22" t="str">
        <f>IF(B18=B22,IF(C18=C22,"Check Total OK","Check Total Error"),"Check Total Error")</f>
        <v>Check Total OK</v>
      </c>
      <c r="B22" s="231">
        <f>SUM(B19:B21)</f>
        <v>18497749.559999999</v>
      </c>
      <c r="C22" s="231">
        <f>SUM(C19:C21)</f>
        <v>7205879.0899999999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3505216.5100000002</v>
      </c>
      <c r="C27" s="234">
        <f>'DOE25'!G200+'DOE25'!G218+'DOE25'!G236+'DOE25'!G279+'DOE25'!G298+'DOE25'!G317</f>
        <v>1666185.0099999998</v>
      </c>
    </row>
    <row r="28" spans="1:3" x14ac:dyDescent="0.2">
      <c r="A28" t="s">
        <v>775</v>
      </c>
      <c r="B28" s="240">
        <v>3324942.68</v>
      </c>
      <c r="C28" s="240">
        <v>1580492.85</v>
      </c>
    </row>
    <row r="29" spans="1:3" x14ac:dyDescent="0.2">
      <c r="A29" t="s">
        <v>776</v>
      </c>
      <c r="B29" s="240">
        <v>85510.46</v>
      </c>
      <c r="C29" s="240">
        <v>40646.92</v>
      </c>
    </row>
    <row r="30" spans="1:3" x14ac:dyDescent="0.2">
      <c r="A30" t="s">
        <v>777</v>
      </c>
      <c r="B30" s="240">
        <v>94763.37</v>
      </c>
      <c r="C30" s="240">
        <v>45045.24</v>
      </c>
    </row>
    <row r="31" spans="1:3" x14ac:dyDescent="0.2">
      <c r="A31" t="str">
        <f>IF(B27=B31,IF(C27=C31,"Check Total OK","Check Total Error"),"Check Total Error")</f>
        <v>Check Total OK</v>
      </c>
      <c r="B31" s="231">
        <f>SUM(B28:B30)</f>
        <v>3505216.5100000002</v>
      </c>
      <c r="C31" s="231">
        <f>SUM(C28:C30)</f>
        <v>1666185.01</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1140511.2300000002</v>
      </c>
      <c r="C36" s="235">
        <f>'DOE25'!G201+'DOE25'!G219+'DOE25'!G237+'DOE25'!G280+'DOE25'!G299+'DOE25'!G318</f>
        <v>137739.51999999999</v>
      </c>
    </row>
    <row r="37" spans="1:3" x14ac:dyDescent="0.2">
      <c r="A37" t="s">
        <v>775</v>
      </c>
      <c r="B37" s="240">
        <v>373975.14</v>
      </c>
      <c r="C37" s="240">
        <v>45164.97</v>
      </c>
    </row>
    <row r="38" spans="1:3" x14ac:dyDescent="0.2">
      <c r="A38" t="s">
        <v>776</v>
      </c>
      <c r="B38" s="240">
        <v>34522.6</v>
      </c>
      <c r="C38" s="240">
        <v>4169.29</v>
      </c>
    </row>
    <row r="39" spans="1:3" x14ac:dyDescent="0.2">
      <c r="A39" t="s">
        <v>777</v>
      </c>
      <c r="B39" s="240">
        <v>732013.49</v>
      </c>
      <c r="C39" s="240">
        <v>88405.26</v>
      </c>
    </row>
    <row r="40" spans="1:3" x14ac:dyDescent="0.2">
      <c r="A40" t="str">
        <f>IF(B36=B40,IF(C36=C40,"Check Total OK","Check Total Error"),"Check Total Error")</f>
        <v>Check Total OK</v>
      </c>
      <c r="B40" s="231">
        <f>SUM(B37:B39)</f>
        <v>1140511.23</v>
      </c>
      <c r="C40" s="231">
        <f>SUM(C37:C39)</f>
        <v>137739.51999999999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Nashua</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97242219.24000001</v>
      </c>
      <c r="D5" s="20">
        <f>SUM('DOE25'!L198:L201)+SUM('DOE25'!L216:L219)+SUM('DOE25'!L234:L237)-F5-G5-H5</f>
        <v>96372945.710000008</v>
      </c>
      <c r="E5" s="243"/>
      <c r="F5" s="244">
        <v>665909.06999999983</v>
      </c>
      <c r="G5" s="53">
        <f>SUM('DOE25'!J198:J201)+SUM('DOE25'!J216:J219)+SUM('DOE25'!J234:J237)</f>
        <v>378101.17999999993</v>
      </c>
      <c r="H5" s="53">
        <f>SUM('DOE25'!K198:K201)+SUM('DOE25'!K216:K219)+SUM('DOE25'!K234:K237)</f>
        <v>-174736.72</v>
      </c>
      <c r="I5" s="256"/>
    </row>
    <row r="6" spans="1:9" x14ac:dyDescent="0.2">
      <c r="A6" s="32">
        <v>2100</v>
      </c>
      <c r="B6" t="s">
        <v>796</v>
      </c>
      <c r="C6" s="276">
        <f t="shared" si="0"/>
        <v>14648064.149999999</v>
      </c>
      <c r="D6" s="20">
        <f>'DOE25'!L203+'DOE25'!L221+'DOE25'!L239-F6-G6-H6</f>
        <v>13673556.909999998</v>
      </c>
      <c r="E6" s="243"/>
      <c r="F6" s="244">
        <v>963414.78</v>
      </c>
      <c r="G6" s="53">
        <f>'DOE25'!J203+'DOE25'!J221+'DOE25'!J239</f>
        <v>11092.46</v>
      </c>
      <c r="H6" s="53">
        <f>'DOE25'!K203+'DOE25'!K221+'DOE25'!K239</f>
        <v>0</v>
      </c>
      <c r="I6" s="256"/>
    </row>
    <row r="7" spans="1:9" x14ac:dyDescent="0.2">
      <c r="A7" s="32">
        <v>2200</v>
      </c>
      <c r="B7" t="s">
        <v>821</v>
      </c>
      <c r="C7" s="276">
        <f t="shared" si="0"/>
        <v>6464004.2699999996</v>
      </c>
      <c r="D7" s="20">
        <f>'DOE25'!L204+'DOE25'!L222+'DOE25'!L240-F7-G7-H7</f>
        <v>3858577.36</v>
      </c>
      <c r="E7" s="243"/>
      <c r="F7" s="244">
        <v>1276068.27</v>
      </c>
      <c r="G7" s="53">
        <f>'DOE25'!J204+'DOE25'!J222+'DOE25'!J240</f>
        <v>1329358.6400000001</v>
      </c>
      <c r="H7" s="53">
        <f>'DOE25'!K204+'DOE25'!K222+'DOE25'!K240</f>
        <v>0</v>
      </c>
      <c r="I7" s="256"/>
    </row>
    <row r="8" spans="1:9" x14ac:dyDescent="0.2">
      <c r="A8" s="32">
        <v>2300</v>
      </c>
      <c r="B8" t="s">
        <v>797</v>
      </c>
      <c r="C8" s="276">
        <f t="shared" si="0"/>
        <v>2498882.4400000004</v>
      </c>
      <c r="D8" s="243"/>
      <c r="E8" s="20">
        <f>'DOE25'!L205+'DOE25'!L223+'DOE25'!L241-F8-G8-H8-D9-D11</f>
        <v>2388871.2600000007</v>
      </c>
      <c r="F8" s="244">
        <v>7864.8199999999924</v>
      </c>
      <c r="G8" s="53">
        <f>'DOE25'!J205+'DOE25'!J223+'DOE25'!J241</f>
        <v>1500</v>
      </c>
      <c r="H8" s="53">
        <f>'DOE25'!K205+'DOE25'!K223+'DOE25'!K241</f>
        <v>100646.36</v>
      </c>
      <c r="I8" s="256"/>
    </row>
    <row r="9" spans="1:9" ht="14.25" x14ac:dyDescent="0.2">
      <c r="A9" s="32">
        <v>2310</v>
      </c>
      <c r="B9" s="185" t="s">
        <v>890</v>
      </c>
      <c r="C9" s="276">
        <f t="shared" si="0"/>
        <v>94428.02</v>
      </c>
      <c r="D9" s="244">
        <v>94428.02</v>
      </c>
      <c r="E9" s="243"/>
      <c r="F9" s="253"/>
      <c r="G9" s="253"/>
      <c r="H9" s="253"/>
      <c r="I9" s="256"/>
    </row>
    <row r="10" spans="1:9" ht="14.25" x14ac:dyDescent="0.2">
      <c r="A10" s="32">
        <v>2317</v>
      </c>
      <c r="B10" s="185" t="s">
        <v>891</v>
      </c>
      <c r="C10" s="276">
        <f t="shared" si="0"/>
        <v>35781</v>
      </c>
      <c r="D10" s="243"/>
      <c r="E10" s="244">
        <v>35781</v>
      </c>
      <c r="F10" s="253"/>
      <c r="G10" s="253"/>
      <c r="H10" s="253"/>
      <c r="I10" s="256"/>
    </row>
    <row r="11" spans="1:9" ht="14.25" x14ac:dyDescent="0.2">
      <c r="A11" s="32">
        <v>2321</v>
      </c>
      <c r="B11" s="185" t="s">
        <v>892</v>
      </c>
      <c r="C11" s="276">
        <f t="shared" si="0"/>
        <v>809428.17</v>
      </c>
      <c r="D11" s="244">
        <v>809428.17</v>
      </c>
      <c r="E11" s="243"/>
      <c r="F11" s="253"/>
      <c r="G11" s="253"/>
      <c r="H11" s="253"/>
      <c r="I11" s="256"/>
    </row>
    <row r="12" spans="1:9" x14ac:dyDescent="0.2">
      <c r="A12" s="32">
        <v>2400</v>
      </c>
      <c r="B12" t="s">
        <v>711</v>
      </c>
      <c r="C12" s="276">
        <f t="shared" si="0"/>
        <v>7202694.0499999998</v>
      </c>
      <c r="D12" s="20">
        <f>'DOE25'!L206+'DOE25'!L224+'DOE25'!L242-F12-G12-H12</f>
        <v>7202116.0499999998</v>
      </c>
      <c r="E12" s="243"/>
      <c r="F12" s="244"/>
      <c r="G12" s="53">
        <f>'DOE25'!J206+'DOE25'!J224+'DOE25'!J242</f>
        <v>578</v>
      </c>
      <c r="H12" s="53">
        <f>'DOE25'!K206+'DOE25'!K224+'DOE25'!K242</f>
        <v>0</v>
      </c>
      <c r="I12" s="256"/>
    </row>
    <row r="13" spans="1:9" x14ac:dyDescent="0.2">
      <c r="A13" s="32">
        <v>2500</v>
      </c>
      <c r="B13" t="s">
        <v>798</v>
      </c>
      <c r="C13" s="276">
        <f t="shared" si="0"/>
        <v>1423270.83</v>
      </c>
      <c r="D13" s="243"/>
      <c r="E13" s="20">
        <f>'DOE25'!L207+'DOE25'!L225+'DOE25'!L243-F13-G13-H13</f>
        <v>1423270.83</v>
      </c>
      <c r="F13" s="244"/>
      <c r="G13" s="53">
        <f>'DOE25'!J207+'DOE25'!J225+'DOE25'!J243</f>
        <v>0</v>
      </c>
      <c r="H13" s="53">
        <f>'DOE25'!K207+'DOE25'!K225+'DOE25'!K243</f>
        <v>0</v>
      </c>
      <c r="I13" s="256"/>
    </row>
    <row r="14" spans="1:9" x14ac:dyDescent="0.2">
      <c r="A14" s="32">
        <v>2600</v>
      </c>
      <c r="B14" t="s">
        <v>819</v>
      </c>
      <c r="C14" s="276">
        <f t="shared" si="0"/>
        <v>14796191.039999999</v>
      </c>
      <c r="D14" s="20">
        <f>'DOE25'!L208+'DOE25'!L226+'DOE25'!L244-F14-G14-H14</f>
        <v>13210969.460000001</v>
      </c>
      <c r="E14" s="243"/>
      <c r="F14" s="244">
        <v>1648145.86</v>
      </c>
      <c r="G14" s="53">
        <f>'DOE25'!J208+'DOE25'!J226+'DOE25'!J244</f>
        <v>57948.020000000004</v>
      </c>
      <c r="H14" s="53">
        <f>'DOE25'!K208+'DOE25'!K226+'DOE25'!K244</f>
        <v>-120872.30000000002</v>
      </c>
      <c r="I14" s="256"/>
    </row>
    <row r="15" spans="1:9" x14ac:dyDescent="0.2">
      <c r="A15" s="32">
        <v>2700</v>
      </c>
      <c r="B15" t="s">
        <v>799</v>
      </c>
      <c r="C15" s="276">
        <f t="shared" si="0"/>
        <v>6842486.1799999997</v>
      </c>
      <c r="D15" s="20">
        <f>'DOE25'!L209+'DOE25'!L227+'DOE25'!L245-F15-G15-H15</f>
        <v>386062.45000000019</v>
      </c>
      <c r="E15" s="243"/>
      <c r="F15" s="244">
        <v>6456423.7299999995</v>
      </c>
      <c r="G15" s="53">
        <f>'DOE25'!J209+'DOE25'!J227+'DOE25'!J245</f>
        <v>0</v>
      </c>
      <c r="H15" s="53">
        <f>'DOE25'!K209+'DOE25'!K227+'DOE25'!K245</f>
        <v>0</v>
      </c>
      <c r="I15" s="256"/>
    </row>
    <row r="16" spans="1:9" x14ac:dyDescent="0.2">
      <c r="A16" s="32">
        <v>2800</v>
      </c>
      <c r="B16" t="s">
        <v>800</v>
      </c>
      <c r="C16" s="276">
        <f t="shared" si="0"/>
        <v>584089.25</v>
      </c>
      <c r="D16" s="243"/>
      <c r="E16" s="20">
        <f>'DOE25'!L210+'DOE25'!L228+'DOE25'!L246-F16-G16-H16</f>
        <v>584089.25</v>
      </c>
      <c r="F16" s="244"/>
      <c r="G16" s="53">
        <f>'DOE25'!J210+'DOE25'!J228+'DOE25'!J246</f>
        <v>0</v>
      </c>
      <c r="H16" s="53">
        <f>'DOE25'!K210+'DOE25'!K228+'DOE25'!K246</f>
        <v>0</v>
      </c>
      <c r="I16" s="256"/>
    </row>
    <row r="17" spans="1:9" x14ac:dyDescent="0.2">
      <c r="A17" s="32">
        <v>1600</v>
      </c>
      <c r="B17" t="s">
        <v>801</v>
      </c>
      <c r="C17" s="276">
        <f t="shared" si="0"/>
        <v>118011.15</v>
      </c>
      <c r="D17" s="20">
        <f>'DOE25'!L252-F17-G17-H17</f>
        <v>118011.15</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133819.35999999999</v>
      </c>
      <c r="D22" s="243"/>
      <c r="E22" s="243"/>
      <c r="F22" s="243"/>
      <c r="G22" s="53">
        <f>'DOE25'!L256+'DOE25'!L337</f>
        <v>133819.35999999999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9892480.4700000007</v>
      </c>
      <c r="D25" s="243"/>
      <c r="E25" s="243"/>
      <c r="F25" s="255"/>
      <c r="G25" s="253"/>
      <c r="H25" s="253"/>
      <c r="I25" s="254">
        <f>'DOE25'!L261+'DOE25'!L262+'DOE25'!L342+'DOE25'!L343</f>
        <v>9892480.4700000007</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2802831.39</v>
      </c>
      <c r="D29" s="284">
        <f>'DOE25'!L359+'DOE25'!L360+'DOE25'!L361-'DOE25'!I368-F29-G29-H29</f>
        <v>2786991.15</v>
      </c>
      <c r="E29" s="243"/>
      <c r="F29" s="244"/>
      <c r="G29" s="53">
        <f>'DOE25'!J359+'DOE25'!J360+'DOE25'!J361</f>
        <v>15840.24</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11006123.110000001</v>
      </c>
      <c r="D31" s="20">
        <f>'DOE25'!L291+'DOE25'!L310+'DOE25'!L329+'DOE25'!L334+'DOE25'!L335+'DOE25'!L336-F31-G31-H31</f>
        <v>9572453.660000002</v>
      </c>
      <c r="E31" s="243"/>
      <c r="F31" s="244">
        <v>292727.93</v>
      </c>
      <c r="G31" s="53">
        <f>'DOE25'!J291+'DOE25'!J310+'DOE25'!J329+'DOE25'!J334+'DOE25'!J335+'DOE25'!J336</f>
        <v>726879.69000000006</v>
      </c>
      <c r="H31" s="53">
        <f>'DOE25'!K291+'DOE25'!K310+'DOE25'!K329+'DOE25'!K334+'DOE25'!K335+'DOE25'!K336</f>
        <v>414061.83</v>
      </c>
      <c r="I31" s="256"/>
    </row>
    <row r="32" spans="1:9" ht="12" thickBot="1" x14ac:dyDescent="0.25">
      <c r="C32" s="277"/>
      <c r="G32" s="251"/>
      <c r="H32" s="251"/>
      <c r="I32" s="258"/>
    </row>
    <row r="33" spans="1:9" ht="12" thickTop="1" x14ac:dyDescent="0.2">
      <c r="B33" t="s">
        <v>809</v>
      </c>
      <c r="D33" s="245">
        <f t="shared" ref="D33:I33" si="1">SUM(D5:D31)</f>
        <v>148085540.09</v>
      </c>
      <c r="E33" s="245">
        <f t="shared" si="1"/>
        <v>4432012.3400000008</v>
      </c>
      <c r="F33" s="245">
        <f t="shared" si="1"/>
        <v>11310554.459999999</v>
      </c>
      <c r="G33" s="245">
        <f t="shared" si="1"/>
        <v>2655117.5900000003</v>
      </c>
      <c r="H33" s="245">
        <f t="shared" si="1"/>
        <v>219099.16999999998</v>
      </c>
      <c r="I33" s="245">
        <f t="shared" si="1"/>
        <v>9892480.4700000007</v>
      </c>
    </row>
    <row r="35" spans="1:9" ht="12" thickBot="1" x14ac:dyDescent="0.25">
      <c r="B35" s="251" t="s">
        <v>831</v>
      </c>
      <c r="D35" s="252">
        <f>E33</f>
        <v>4432012.3400000008</v>
      </c>
      <c r="E35" s="248"/>
    </row>
    <row r="36" spans="1:9" ht="12" thickTop="1" x14ac:dyDescent="0.2">
      <c r="B36" t="s">
        <v>810</v>
      </c>
      <c r="D36" s="20">
        <f>D33</f>
        <v>148085540.09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25" sqref="I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Nashua</v>
      </c>
      <c r="B2" s="126">
        <f>'DOE25'!B2</f>
        <v>371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77825987.216545105</v>
      </c>
      <c r="G4" s="303">
        <f>'DOE25'!L212+'DOE25'!L291</f>
        <v>77825987.21654509</v>
      </c>
      <c r="H4" s="337">
        <f>F4-G4</f>
        <v>0</v>
      </c>
      <c r="I4" s="309" t="str">
        <f>IF(H4=0,"","Does not match DOE25 page 7 and 11 Totals!!")</f>
        <v/>
      </c>
      <c r="N4"/>
    </row>
    <row r="5" spans="1:18" x14ac:dyDescent="0.2">
      <c r="A5" s="21" t="s">
        <v>1305</v>
      </c>
      <c r="B5" s="304">
        <f>IFERROR(VLOOKUP(A5,'School Tables'!$C$3:$D$365,2,FALSE),"")</f>
        <v>21940</v>
      </c>
      <c r="C5" s="297" t="str">
        <f>IFERROR(INDEX('School Tables'!$B$3:$B$365,MATCH('School Level Expenditures'!B5,'School Tables'!$D$3:$D$365,0)),"")</f>
        <v>Nashua</v>
      </c>
      <c r="D5" s="294">
        <v>4741605.5385592999</v>
      </c>
      <c r="E5" s="294">
        <v>719245.4091238</v>
      </c>
      <c r="F5" s="312">
        <f>D5+E5</f>
        <v>5460850.9476830997</v>
      </c>
      <c r="G5" s="297"/>
      <c r="H5" s="297"/>
      <c r="I5" s="126"/>
      <c r="N5"/>
    </row>
    <row r="6" spans="1:18" x14ac:dyDescent="0.2">
      <c r="A6" s="21" t="s">
        <v>1296</v>
      </c>
      <c r="B6" s="304">
        <f>IFERROR(VLOOKUP(A6,'School Tables'!$C$3:$D$365,2,FALSE),"")</f>
        <v>21865</v>
      </c>
      <c r="C6" s="297" t="str">
        <f>IFERROR(INDEX('School Tables'!$B$3:$B$365,MATCH('School Level Expenditures'!B6,'School Tables'!$D$3:$D$365,0)),"")</f>
        <v>Nashua</v>
      </c>
      <c r="D6" s="294">
        <v>6916833.5346614011</v>
      </c>
      <c r="E6" s="294">
        <v>217880.36402239997</v>
      </c>
      <c r="F6" s="307">
        <f t="shared" ref="F6:F20" si="0">D6+E6</f>
        <v>7134713.8986838013</v>
      </c>
      <c r="G6" s="297"/>
      <c r="H6" s="297"/>
      <c r="I6" s="126"/>
      <c r="N6"/>
    </row>
    <row r="7" spans="1:18" x14ac:dyDescent="0.2">
      <c r="A7" s="21" t="s">
        <v>1300</v>
      </c>
      <c r="B7" s="304">
        <f>IFERROR(VLOOKUP(A7,'School Tables'!$C$3:$D$365,2,FALSE),"")</f>
        <v>21895</v>
      </c>
      <c r="C7" s="297" t="str">
        <f>IFERROR(INDEX('School Tables'!$B$3:$B$365,MATCH('School Level Expenditures'!B7,'School Tables'!$D$3:$D$365,0)),"")</f>
        <v>Nashua</v>
      </c>
      <c r="D7" s="294">
        <v>6016779.6758454992</v>
      </c>
      <c r="E7" s="294">
        <v>303375.44766800001</v>
      </c>
      <c r="F7" s="307">
        <f t="shared" si="0"/>
        <v>6320155.1235134993</v>
      </c>
      <c r="G7" s="297"/>
      <c r="H7" s="297"/>
      <c r="I7" s="126"/>
      <c r="N7"/>
    </row>
    <row r="8" spans="1:18" x14ac:dyDescent="0.2">
      <c r="A8" s="21" t="s">
        <v>1302</v>
      </c>
      <c r="B8" s="304">
        <f>IFERROR(VLOOKUP(A8,'School Tables'!$C$3:$D$365,2,FALSE),"")</f>
        <v>21925</v>
      </c>
      <c r="C8" s="297" t="str">
        <f>IFERROR(INDEX('School Tables'!$B$3:$B$365,MATCH('School Level Expenditures'!B8,'School Tables'!$D$3:$D$365,0)),"")</f>
        <v>Nashua</v>
      </c>
      <c r="D8" s="294">
        <v>6227349.8603720022</v>
      </c>
      <c r="E8" s="294">
        <v>300271.58187200001</v>
      </c>
      <c r="F8" s="307">
        <f t="shared" si="0"/>
        <v>6527621.4422440026</v>
      </c>
      <c r="G8" s="297"/>
      <c r="H8" s="297"/>
      <c r="I8" s="126"/>
      <c r="N8"/>
    </row>
    <row r="9" spans="1:18" x14ac:dyDescent="0.2">
      <c r="A9" s="21" t="s">
        <v>1303</v>
      </c>
      <c r="B9" s="304">
        <f>IFERROR(VLOOKUP(A9,'School Tables'!$C$3:$D$365,2,FALSE),"")</f>
        <v>21930</v>
      </c>
      <c r="C9" s="297" t="str">
        <f>IFERROR(INDEX('School Tables'!$B$3:$B$365,MATCH('School Level Expenditures'!B9,'School Tables'!$D$3:$D$365,0)),"")</f>
        <v>Nashua</v>
      </c>
      <c r="D9" s="294">
        <v>6413078.6191737019</v>
      </c>
      <c r="E9" s="294">
        <v>296269.78253919998</v>
      </c>
      <c r="F9" s="307">
        <f t="shared" si="0"/>
        <v>6709348.4017129019</v>
      </c>
      <c r="G9" s="297"/>
      <c r="H9" s="297"/>
      <c r="I9" s="126"/>
      <c r="N9"/>
    </row>
    <row r="10" spans="1:18" x14ac:dyDescent="0.2">
      <c r="A10" s="21" t="s">
        <v>1291</v>
      </c>
      <c r="B10" s="304">
        <f>IFERROR(VLOOKUP(A10,'School Tables'!$C$3:$D$365,2,FALSE),"")</f>
        <v>21835</v>
      </c>
      <c r="C10" s="297" t="str">
        <f>IFERROR(INDEX('School Tables'!$B$3:$B$365,MATCH('School Level Expenditures'!B10,'School Tables'!$D$3:$D$365,0)),"")</f>
        <v>Nashua</v>
      </c>
      <c r="D10" s="294">
        <v>5149193.0569752995</v>
      </c>
      <c r="E10" s="294">
        <v>735706.9742998</v>
      </c>
      <c r="F10" s="307">
        <f t="shared" si="0"/>
        <v>5884900.0312750991</v>
      </c>
      <c r="G10" s="297"/>
      <c r="H10" s="297"/>
      <c r="I10" s="126"/>
      <c r="N10"/>
    </row>
    <row r="11" spans="1:18" x14ac:dyDescent="0.2">
      <c r="A11" s="21" t="s">
        <v>1292</v>
      </c>
      <c r="B11" s="304">
        <f>IFERROR(VLOOKUP(A11,'School Tables'!$C$3:$D$365,2,FALSE),"")</f>
        <v>21840</v>
      </c>
      <c r="C11" s="297" t="str">
        <f>IFERROR(INDEX('School Tables'!$B$3:$B$365,MATCH('School Level Expenditures'!B11,'School Tables'!$D$3:$D$365,0)),"")</f>
        <v>Nashua</v>
      </c>
      <c r="D11" s="294">
        <v>6396228.6892643003</v>
      </c>
      <c r="E11" s="294">
        <v>853068.06701379991</v>
      </c>
      <c r="F11" s="307">
        <f t="shared" si="0"/>
        <v>7249296.7562781004</v>
      </c>
      <c r="G11" s="297"/>
      <c r="H11" s="297"/>
      <c r="I11" s="126"/>
      <c r="N11"/>
    </row>
    <row r="12" spans="1:18" x14ac:dyDescent="0.2">
      <c r="A12" s="21" t="s">
        <v>1301</v>
      </c>
      <c r="B12" s="304">
        <f>IFERROR(VLOOKUP(A12,'School Tables'!$C$3:$D$365,2,FALSE),"")</f>
        <v>21915</v>
      </c>
      <c r="C12" s="297" t="str">
        <f>IFERROR(INDEX('School Tables'!$B$3:$B$365,MATCH('School Level Expenditures'!B12,'School Tables'!$D$3:$D$365,0)),"")</f>
        <v>Nashua</v>
      </c>
      <c r="D12" s="294">
        <v>6312795.8537947014</v>
      </c>
      <c r="E12" s="294">
        <v>1217315.5598051997</v>
      </c>
      <c r="F12" s="307">
        <f t="shared" si="0"/>
        <v>7530111.4135999009</v>
      </c>
      <c r="G12" s="297"/>
      <c r="H12" s="297"/>
      <c r="I12" s="126"/>
      <c r="N12"/>
    </row>
    <row r="13" spans="1:18" x14ac:dyDescent="0.2">
      <c r="A13" s="21" t="s">
        <v>1304</v>
      </c>
      <c r="B13" s="304">
        <f>IFERROR(VLOOKUP(A13,'School Tables'!$C$3:$D$365,2,FALSE),"")</f>
        <v>21935</v>
      </c>
      <c r="C13" s="297" t="str">
        <f>IFERROR(INDEX('School Tables'!$B$3:$B$365,MATCH('School Level Expenditures'!B13,'School Tables'!$D$3:$D$365,0)),"")</f>
        <v>Nashua</v>
      </c>
      <c r="D13" s="294">
        <v>6436708.6714602998</v>
      </c>
      <c r="E13" s="294">
        <v>282137.2518648</v>
      </c>
      <c r="F13" s="307">
        <f t="shared" si="0"/>
        <v>6718845.9233251</v>
      </c>
      <c r="G13" s="297"/>
      <c r="H13" s="297"/>
      <c r="I13" s="126"/>
      <c r="N13"/>
    </row>
    <row r="14" spans="1:18" x14ac:dyDescent="0.2">
      <c r="A14" s="21" t="s">
        <v>1298</v>
      </c>
      <c r="B14" s="304">
        <f>IFERROR(VLOOKUP(A14,'School Tables'!$C$3:$D$365,2,FALSE),"")</f>
        <v>21885</v>
      </c>
      <c r="C14" s="297" t="str">
        <f>IFERROR(INDEX('School Tables'!$B$3:$B$365,MATCH('School Level Expenditures'!B14,'School Tables'!$D$3:$D$365,0)),"")</f>
        <v>Nashua</v>
      </c>
      <c r="D14" s="294">
        <v>4751870.7346024998</v>
      </c>
      <c r="E14" s="294">
        <v>1053365.6202150001</v>
      </c>
      <c r="F14" s="307">
        <f t="shared" si="0"/>
        <v>5805236.3548175003</v>
      </c>
      <c r="G14" s="297"/>
      <c r="H14" s="297"/>
      <c r="I14" s="126"/>
      <c r="N14"/>
    </row>
    <row r="15" spans="1:18" x14ac:dyDescent="0.2">
      <c r="A15" s="21" t="s">
        <v>1293</v>
      </c>
      <c r="B15" s="304">
        <f>IFERROR(VLOOKUP(A15,'School Tables'!$C$3:$D$365,2,FALSE),"")</f>
        <v>21845</v>
      </c>
      <c r="C15" s="297" t="str">
        <f>IFERROR(INDEX('School Tables'!$B$3:$B$365,MATCH('School Level Expenditures'!B15,'School Tables'!$D$3:$D$365,0)),"")</f>
        <v>Nashua</v>
      </c>
      <c r="D15" s="294">
        <v>5555653.8565568989</v>
      </c>
      <c r="E15" s="294">
        <v>394792.77155040007</v>
      </c>
      <c r="F15" s="307">
        <f t="shared" si="0"/>
        <v>5950446.6281072991</v>
      </c>
      <c r="G15" s="297"/>
      <c r="H15" s="297"/>
      <c r="I15" s="126"/>
      <c r="N15"/>
    </row>
    <row r="16" spans="1:18" x14ac:dyDescent="0.2">
      <c r="A16" s="21" t="s">
        <v>1294</v>
      </c>
      <c r="B16" s="304">
        <f>IFERROR(VLOOKUP(A16,'School Tables'!$C$3:$D$365,2,FALSE),"")</f>
        <v>21850</v>
      </c>
      <c r="C16" s="297" t="str">
        <f>IFERROR(INDEX('School Tables'!$B$3:$B$365,MATCH('School Level Expenditures'!B16,'School Tables'!$D$3:$D$365,0)),"")</f>
        <v>Nashua</v>
      </c>
      <c r="D16" s="294">
        <v>6167750.7354944013</v>
      </c>
      <c r="E16" s="294">
        <v>366709.55981040001</v>
      </c>
      <c r="F16" s="307">
        <f t="shared" si="0"/>
        <v>6534460.2953048013</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35954691.534652792</v>
      </c>
      <c r="G24" s="303">
        <f>'DOE25'!L230+'DOE25'!L310</f>
        <v>35954691.534652799</v>
      </c>
      <c r="H24" s="337">
        <f>F24-G24</f>
        <v>0</v>
      </c>
      <c r="I24" s="309" t="str">
        <f>IF(H24=0,"","Does not match DOE25 page 8 and 12 Totals!!")</f>
        <v/>
      </c>
      <c r="N24"/>
    </row>
    <row r="25" spans="1:14" x14ac:dyDescent="0.2">
      <c r="A25" s="21" t="s">
        <v>1299</v>
      </c>
      <c r="B25" s="304">
        <f>IFERROR(VLOOKUP(A25,'School Tables'!$I$3:$J$80,2,FALSE),"")</f>
        <v>21890</v>
      </c>
      <c r="C25" s="297" t="str">
        <f t="array" ref="C25">IFERROR(INDEX('School Tables'!$H$3:$H$80,MATCH('School Level Expenditures'!B25,'School Tables'!$J$3:$J$80,0)),"")</f>
        <v>Nashua</v>
      </c>
      <c r="D25" s="294">
        <v>15564178.801245397</v>
      </c>
      <c r="E25" s="294">
        <v>553558.35843639995</v>
      </c>
      <c r="F25" s="307">
        <f>D25+E25</f>
        <v>16117737.159681797</v>
      </c>
      <c r="G25" s="297"/>
      <c r="H25" s="297"/>
      <c r="I25" s="126"/>
      <c r="N25"/>
    </row>
    <row r="26" spans="1:14" x14ac:dyDescent="0.2">
      <c r="A26" s="21" t="s">
        <v>1297</v>
      </c>
      <c r="B26" s="304">
        <f>IFERROR(VLOOKUP(A26,'School Tables'!$I$3:$J$80,2,FALSE),"")</f>
        <v>21875</v>
      </c>
      <c r="C26" s="297" t="str">
        <f t="array" ref="C26">IFERROR(INDEX('School Tables'!$H$3:$H$80,MATCH('School Level Expenditures'!B26,'School Tables'!$J$3:$J$80,0)),"")</f>
        <v>Nashua</v>
      </c>
      <c r="D26" s="294">
        <v>10113506.059178697</v>
      </c>
      <c r="E26" s="294">
        <v>281889.72659919999</v>
      </c>
      <c r="F26" s="307">
        <f t="shared" ref="F26:F32" si="1">D26+E26</f>
        <v>10395395.785777897</v>
      </c>
      <c r="G26" s="297"/>
      <c r="H26" s="297"/>
      <c r="I26" s="126"/>
      <c r="N26"/>
    </row>
    <row r="27" spans="1:14" x14ac:dyDescent="0.2">
      <c r="A27" s="21" t="s">
        <v>1290</v>
      </c>
      <c r="B27" s="304">
        <f>IFERROR(VLOOKUP(A27,'School Tables'!$I$3:$J$80,2,FALSE),"")</f>
        <v>21825</v>
      </c>
      <c r="C27" s="297" t="str">
        <f t="array" ref="C27">IFERROR(INDEX('School Tables'!$H$3:$H$80,MATCH('School Level Expenditures'!B27,'School Tables'!$J$3:$J$80,0)),"")</f>
        <v>Nashua</v>
      </c>
      <c r="D27" s="294">
        <v>9099552.1603342984</v>
      </c>
      <c r="E27" s="294">
        <v>342006.42885880003</v>
      </c>
      <c r="F27" s="307">
        <f t="shared" si="1"/>
        <v>9441558.5891930982</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49612656.078802094</v>
      </c>
      <c r="G36" s="303">
        <f>'DOE25'!L248+'DOE25'!L329</f>
        <v>49612656.078802101</v>
      </c>
      <c r="H36" s="337">
        <f>F36-G36</f>
        <v>0</v>
      </c>
      <c r="I36" s="309" t="str">
        <f>IF(H36=0,"","Does not match DOE25 page 9 and 13 Totals!!")</f>
        <v/>
      </c>
      <c r="N36"/>
    </row>
    <row r="37" spans="1:14" x14ac:dyDescent="0.2">
      <c r="A37" s="21" t="s">
        <v>1295</v>
      </c>
      <c r="B37" s="304">
        <f>IFERROR(VLOOKUP(A37,'School Tables'!$O$3:$P$118,2,FALSE),"")</f>
        <v>21860</v>
      </c>
      <c r="C37" s="297" t="str">
        <f t="array" ref="C37">IFERROR(INDEX('School Tables'!$N$3:$N$118,MATCH('School Level Expenditures'!B37,'School Tables'!$P$3:$P$118,0)),"")</f>
        <v>Nashua</v>
      </c>
      <c r="D37" s="294">
        <v>24939190.149388701</v>
      </c>
      <c r="E37" s="294">
        <v>1069861.4535192</v>
      </c>
      <c r="F37" s="307">
        <f>D37+E37</f>
        <v>26009051.6029079</v>
      </c>
      <c r="G37" s="297"/>
      <c r="H37" s="297"/>
      <c r="I37" s="126"/>
      <c r="N37"/>
    </row>
    <row r="38" spans="1:14" x14ac:dyDescent="0.2">
      <c r="A38" s="21" t="s">
        <v>1306</v>
      </c>
      <c r="B38" s="304">
        <f>IFERROR(VLOOKUP(A38,'School Tables'!$O$3:$P$118,2,FALSE),"")</f>
        <v>27960</v>
      </c>
      <c r="C38" s="297" t="str">
        <f t="array" ref="C38">IFERROR(INDEX('School Tables'!$N$3:$N$118,MATCH('School Level Expenditures'!B38,'School Tables'!$P$3:$P$118,0)),"")</f>
        <v>Nashua</v>
      </c>
      <c r="D38" s="294">
        <v>22391455.683092598</v>
      </c>
      <c r="E38" s="294">
        <v>1212148.7928015999</v>
      </c>
      <c r="F38" s="307">
        <f t="shared" ref="F38:F41" si="2">D38+E38</f>
        <v>23603604.475894198</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Nashua</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2180283.7799999998</v>
      </c>
      <c r="H8" s="124"/>
      <c r="I8" s="124"/>
    </row>
    <row r="9" spans="1:9" x14ac:dyDescent="0.2">
      <c r="A9" s="1" t="s">
        <v>140</v>
      </c>
      <c r="B9" s="6">
        <v>110</v>
      </c>
      <c r="C9" s="95">
        <f>'DOE25'!F10</f>
        <v>0</v>
      </c>
      <c r="D9" s="95">
        <f>'DOE25'!G10</f>
        <v>0</v>
      </c>
      <c r="E9" s="95">
        <f>'DOE25'!H10</f>
        <v>0</v>
      </c>
      <c r="F9" s="95">
        <f>'DOE25'!I10</f>
        <v>0</v>
      </c>
      <c r="G9" s="95">
        <f>'DOE25'!J10</f>
        <v>6873424.3300000001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213516.45</v>
      </c>
      <c r="E11" s="95">
        <f>'DOE25'!H12</f>
        <v>0</v>
      </c>
      <c r="F11" s="95">
        <f>'DOE25'!I12</f>
        <v>894669.07</v>
      </c>
      <c r="G11" s="95">
        <f>'DOE25'!J12</f>
        <v>41777.120000000003</v>
      </c>
      <c r="H11" s="124"/>
      <c r="I11" s="124"/>
    </row>
    <row r="12" spans="1:9" x14ac:dyDescent="0.2">
      <c r="A12" s="1" t="s">
        <v>143</v>
      </c>
      <c r="B12" s="6">
        <v>140</v>
      </c>
      <c r="C12" s="95">
        <f>'DOE25'!F13</f>
        <v>0</v>
      </c>
      <c r="D12" s="95">
        <f>'DOE25'!G13</f>
        <v>43386.09</v>
      </c>
      <c r="E12" s="95">
        <f>'DOE25'!H13</f>
        <v>3647526.78</v>
      </c>
      <c r="F12" s="95">
        <f>'DOE25'!I13</f>
        <v>0</v>
      </c>
      <c r="G12" s="95">
        <f>'DOE25'!J13</f>
        <v>0</v>
      </c>
      <c r="H12" s="124"/>
      <c r="I12" s="124"/>
    </row>
    <row r="13" spans="1:9" x14ac:dyDescent="0.2">
      <c r="A13" s="1" t="s">
        <v>144</v>
      </c>
      <c r="B13" s="6">
        <v>150</v>
      </c>
      <c r="C13" s="95">
        <f>'DOE25'!F14</f>
        <v>0</v>
      </c>
      <c r="D13" s="95">
        <f>'DOE25'!G14</f>
        <v>0</v>
      </c>
      <c r="E13" s="95">
        <f>'DOE25'!H14</f>
        <v>253785.28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256902.54</v>
      </c>
      <c r="E18" s="41">
        <f>SUM(E8:E17)</f>
        <v>3901312.0599999996</v>
      </c>
      <c r="F18" s="41">
        <f>SUM(F8:F17)</f>
        <v>894669.07</v>
      </c>
      <c r="G18" s="41">
        <f>SUM(G8:G17)</f>
        <v>9095485.2299999986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1436287.38</v>
      </c>
      <c r="F21" s="95">
        <f>'DOE25'!I22</f>
        <v>0</v>
      </c>
      <c r="G21" s="95">
        <f>'DOE25'!J22</f>
        <v>170155.58</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5003.75</v>
      </c>
      <c r="E23" s="95">
        <f>'DOE25'!H24</f>
        <v>410857.8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2600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5003.75</v>
      </c>
      <c r="E31" s="41">
        <f>SUM(E21:E30)</f>
        <v>1849745.18</v>
      </c>
      <c r="F31" s="41">
        <f>SUM(F21:F30)</f>
        <v>0</v>
      </c>
      <c r="G31" s="41">
        <f>SUM(G21:G30)</f>
        <v>170155.58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6433500.3300000001</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377071.06</v>
      </c>
      <c r="H38" s="124"/>
      <c r="I38" s="124"/>
    </row>
    <row r="39" spans="1:9" x14ac:dyDescent="0.2">
      <c r="A39" s="1" t="s">
        <v>861</v>
      </c>
      <c r="B39" s="6"/>
      <c r="C39" s="24" t="s">
        <v>288</v>
      </c>
      <c r="D39" s="95">
        <f>'DOE25'!G40</f>
        <v>251898.79000000004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1437124.8299999998</v>
      </c>
      <c r="F47" s="95">
        <f>'DOE25'!I48</f>
        <v>-511529.14999999991</v>
      </c>
      <c r="G47" s="95">
        <f>'DOE25'!J48</f>
        <v>2114758.2599999998</v>
      </c>
      <c r="H47" s="124"/>
      <c r="I47" s="124"/>
    </row>
    <row r="48" spans="1:9" x14ac:dyDescent="0.2">
      <c r="A48" s="1" t="s">
        <v>882</v>
      </c>
      <c r="B48" s="6">
        <v>753</v>
      </c>
      <c r="C48" s="95">
        <f>'DOE25'!F49</f>
        <v>0</v>
      </c>
      <c r="D48" s="95">
        <f>'DOE25'!G49</f>
        <v>0</v>
      </c>
      <c r="E48" s="95">
        <f>'DOE25'!H49</f>
        <v>614442.04999999993</v>
      </c>
      <c r="F48" s="95">
        <f>'DOE25'!I49</f>
        <v>1406198.22</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251898.79000000004</v>
      </c>
      <c r="E50" s="41">
        <f>SUM(E34:E49)</f>
        <v>2051566.88</v>
      </c>
      <c r="F50" s="41">
        <f>SUM(F34:F49)</f>
        <v>894669.07000000007</v>
      </c>
      <c r="G50" s="41">
        <f>SUM(G34:G49)</f>
        <v>8925329.6499999985</v>
      </c>
      <c r="H50" s="124"/>
      <c r="I50" s="124"/>
    </row>
    <row r="51" spans="1:9" ht="12" thickTop="1" x14ac:dyDescent="0.2">
      <c r="A51" s="38" t="s">
        <v>885</v>
      </c>
      <c r="B51" s="2"/>
      <c r="C51" s="41">
        <f>C50+C31</f>
        <v>0</v>
      </c>
      <c r="D51" s="41">
        <f>D50+D31</f>
        <v>256902.54000000004</v>
      </c>
      <c r="E51" s="41">
        <f>E50+E31</f>
        <v>3901312.0599999996</v>
      </c>
      <c r="F51" s="41">
        <f>F50+F31</f>
        <v>894669.07000000007</v>
      </c>
      <c r="G51" s="41">
        <f>G50+G31</f>
        <v>9095485.2299999986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101661160.66</v>
      </c>
      <c r="D56" s="95">
        <f>'DOE25'!G60</f>
        <v>0</v>
      </c>
      <c r="E56" s="95">
        <f>'DOE25'!H60</f>
        <v>0</v>
      </c>
      <c r="F56" s="95">
        <f>'DOE25'!I60</f>
        <v>0</v>
      </c>
      <c r="G56" s="95">
        <f>'DOE25'!J60</f>
        <v>0</v>
      </c>
      <c r="H56"/>
      <c r="I56"/>
    </row>
    <row r="57" spans="1:9" x14ac:dyDescent="0.2">
      <c r="A57" s="1" t="s">
        <v>164</v>
      </c>
      <c r="B57" s="6" t="s">
        <v>165</v>
      </c>
      <c r="C57" s="95">
        <f>'DOE25'!F79</f>
        <v>8424.89</v>
      </c>
      <c r="D57" s="24" t="s">
        <v>288</v>
      </c>
      <c r="E57" s="95">
        <f>'DOE25'!H79</f>
        <v>782131.62</v>
      </c>
      <c r="F57" s="24" t="s">
        <v>288</v>
      </c>
      <c r="G57" s="24" t="s">
        <v>288</v>
      </c>
      <c r="H57"/>
      <c r="I57"/>
    </row>
    <row r="58" spans="1:9" x14ac:dyDescent="0.2">
      <c r="A58" s="1" t="s">
        <v>166</v>
      </c>
      <c r="B58" s="6" t="s">
        <v>167</v>
      </c>
      <c r="C58" s="95">
        <f>'DOE25'!F94</f>
        <v>81869.19</v>
      </c>
      <c r="D58" s="24" t="s">
        <v>288</v>
      </c>
      <c r="E58" s="95">
        <f>'DOE25'!H94</f>
        <v>6631.68</v>
      </c>
      <c r="F58" s="24" t="s">
        <v>288</v>
      </c>
      <c r="G58" s="24" t="s">
        <v>288</v>
      </c>
      <c r="H58"/>
      <c r="I58"/>
    </row>
    <row r="59" spans="1:9" x14ac:dyDescent="0.2">
      <c r="A59" s="69" t="s">
        <v>168</v>
      </c>
      <c r="B59" s="37" t="s">
        <v>169</v>
      </c>
      <c r="C59" s="95">
        <f>'DOE25'!F96</f>
        <v>0</v>
      </c>
      <c r="D59" s="95">
        <f>'DOE25'!G96</f>
        <v>6907</v>
      </c>
      <c r="E59" s="95">
        <f>'DOE25'!H96</f>
        <v>0</v>
      </c>
      <c r="F59" s="95">
        <f>'DOE25'!I96</f>
        <v>0</v>
      </c>
      <c r="G59" s="95">
        <f>'DOE25'!J96</f>
        <v>528347.31000000006</v>
      </c>
      <c r="H59"/>
      <c r="I59"/>
    </row>
    <row r="60" spans="1:9" x14ac:dyDescent="0.2">
      <c r="A60" s="1" t="s">
        <v>170</v>
      </c>
      <c r="B60" s="118" t="s">
        <v>171</v>
      </c>
      <c r="C60" s="24" t="s">
        <v>288</v>
      </c>
      <c r="D60" s="95">
        <f>'DOE25'!G97</f>
        <v>1372010.73</v>
      </c>
      <c r="E60" s="24" t="s">
        <v>288</v>
      </c>
      <c r="F60" s="24" t="s">
        <v>288</v>
      </c>
      <c r="G60" s="24" t="s">
        <v>288</v>
      </c>
      <c r="H60"/>
      <c r="I60"/>
    </row>
    <row r="61" spans="1:9" ht="12" thickBot="1" x14ac:dyDescent="0.25">
      <c r="A61" s="1" t="s">
        <v>172</v>
      </c>
      <c r="B61" s="118" t="s">
        <v>173</v>
      </c>
      <c r="C61" s="95">
        <f>SUM('DOE25'!F98:F110)</f>
        <v>20036.009999999998</v>
      </c>
      <c r="D61" s="95">
        <f>SUM('DOE25'!G98:G110)</f>
        <v>0</v>
      </c>
      <c r="E61" s="95">
        <f>SUM('DOE25'!H98:H110)</f>
        <v>362578.22</v>
      </c>
      <c r="F61" s="95">
        <f>SUM('DOE25'!I98:I110)</f>
        <v>0</v>
      </c>
      <c r="G61" s="95">
        <f>SUM('DOE25'!J98:J110)</f>
        <v>240460.24</v>
      </c>
      <c r="H61"/>
      <c r="I61"/>
    </row>
    <row r="62" spans="1:9" ht="12.75" thickTop="1" thickBot="1" x14ac:dyDescent="0.25">
      <c r="A62" s="29" t="s">
        <v>174</v>
      </c>
      <c r="B62" s="6"/>
      <c r="C62" s="130">
        <f>SUM(C57:C61)</f>
        <v>110330.09</v>
      </c>
      <c r="D62" s="130">
        <f>SUM(D57:D61)</f>
        <v>1378917.73</v>
      </c>
      <c r="E62" s="130">
        <f>SUM(E57:E61)</f>
        <v>1151341.52</v>
      </c>
      <c r="F62" s="130">
        <f>SUM(F57:F61)</f>
        <v>0</v>
      </c>
      <c r="G62" s="130">
        <f>SUM(G57:G61)</f>
        <v>768807.55</v>
      </c>
      <c r="H62"/>
      <c r="I62"/>
    </row>
    <row r="63" spans="1:9" ht="12" thickTop="1" x14ac:dyDescent="0.2">
      <c r="A63" s="29" t="s">
        <v>175</v>
      </c>
      <c r="B63" s="6"/>
      <c r="C63" s="22">
        <f>C56+C62</f>
        <v>101771490.75</v>
      </c>
      <c r="D63" s="22">
        <f>D56+D62</f>
        <v>1378917.73</v>
      </c>
      <c r="E63" s="22">
        <f>E56+E62</f>
        <v>1151341.52</v>
      </c>
      <c r="F63" s="22">
        <f>F56+F62</f>
        <v>0</v>
      </c>
      <c r="G63" s="22">
        <f>G56+G62</f>
        <v>768807.55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37832046.399999999</v>
      </c>
      <c r="D66" s="24" t="s">
        <v>288</v>
      </c>
      <c r="E66" s="24" t="s">
        <v>288</v>
      </c>
      <c r="F66" s="24" t="s">
        <v>288</v>
      </c>
      <c r="G66" s="24" t="s">
        <v>288</v>
      </c>
      <c r="H66"/>
      <c r="I66"/>
    </row>
    <row r="67" spans="1:9" x14ac:dyDescent="0.2">
      <c r="A67" s="1" t="s">
        <v>770</v>
      </c>
      <c r="B67" s="6">
        <v>3112</v>
      </c>
      <c r="C67" s="95">
        <f>'DOE25'!F118</f>
        <v>21073789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53083.78</v>
      </c>
      <c r="D69" s="95">
        <f>'DOE25'!G120</f>
        <v>0</v>
      </c>
      <c r="E69" s="95">
        <f>'DOE25'!H120</f>
        <v>0</v>
      </c>
      <c r="F69" s="95">
        <f>'DOE25'!I120</f>
        <v>0</v>
      </c>
      <c r="G69" s="95">
        <f>'DOE25'!J120</f>
        <v>0</v>
      </c>
      <c r="H69"/>
      <c r="I69"/>
    </row>
    <row r="70" spans="1:9" ht="12" thickTop="1" x14ac:dyDescent="0.2">
      <c r="A70" s="29" t="s">
        <v>252</v>
      </c>
      <c r="B70" s="2"/>
      <c r="C70" s="139">
        <f>SUM(C66:C69)</f>
        <v>58958919.18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2280048.96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1199645.06</v>
      </c>
      <c r="D75" s="24" t="s">
        <v>288</v>
      </c>
      <c r="E75" s="24" t="s">
        <v>288</v>
      </c>
      <c r="F75" s="24" t="s">
        <v>288</v>
      </c>
      <c r="G75" s="24" t="s">
        <v>288</v>
      </c>
      <c r="H75"/>
      <c r="I75"/>
    </row>
    <row r="76" spans="1:9" x14ac:dyDescent="0.2">
      <c r="A76" s="1" t="s">
        <v>257</v>
      </c>
      <c r="B76" s="6" t="s">
        <v>179</v>
      </c>
      <c r="C76" s="95">
        <f>SUM('DOE25'!F127:F130)</f>
        <v>226314.85</v>
      </c>
      <c r="D76" s="24" t="s">
        <v>288</v>
      </c>
      <c r="E76" s="95">
        <f>SUM('DOE25'!H127:H130)</f>
        <v>11584.16</v>
      </c>
      <c r="F76" s="95">
        <f>SUM('DOE25'!I127:I130)</f>
        <v>0</v>
      </c>
      <c r="G76" s="24" t="s">
        <v>288</v>
      </c>
      <c r="H76"/>
      <c r="I76"/>
    </row>
    <row r="77" spans="1:9" ht="12" thickBot="1" x14ac:dyDescent="0.25">
      <c r="A77" s="1" t="s">
        <v>258</v>
      </c>
      <c r="B77" s="6" t="s">
        <v>180</v>
      </c>
      <c r="C77" s="95">
        <f>SUM('DOE25'!F131:F135)</f>
        <v>0</v>
      </c>
      <c r="D77" s="95">
        <f>SUM('DOE25'!G131:G135)</f>
        <v>80485.91</v>
      </c>
      <c r="E77" s="95">
        <f>SUM('DOE25'!H131:H135)</f>
        <v>294263.98</v>
      </c>
      <c r="F77" s="95">
        <f>SUM('DOE25'!I131:I135)</f>
        <v>0</v>
      </c>
      <c r="G77" s="95">
        <f>SUM('DOE25'!J131:J135)</f>
        <v>0</v>
      </c>
      <c r="H77"/>
      <c r="I77"/>
    </row>
    <row r="78" spans="1:9" ht="12.75" thickTop="1" thickBot="1" x14ac:dyDescent="0.25">
      <c r="A78" s="29" t="s">
        <v>259</v>
      </c>
      <c r="B78" s="6"/>
      <c r="C78" s="130">
        <f>SUM(C72:C77)</f>
        <v>3706008.87</v>
      </c>
      <c r="D78" s="130">
        <f>SUM(D72:D77)</f>
        <v>80485.91</v>
      </c>
      <c r="E78" s="130">
        <f>SUM(E72:E77)</f>
        <v>305848.13999999996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62664928.049999997</v>
      </c>
      <c r="D81" s="130">
        <f>SUM(D79:D80)+D78+D70</f>
        <v>80485.91</v>
      </c>
      <c r="E81" s="130">
        <f>SUM(E79:E80)+E78+E70</f>
        <v>305848.13999999996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34980.99</v>
      </c>
      <c r="F87" s="95">
        <f>SUM('DOE25'!I149:I152)</f>
        <v>0</v>
      </c>
      <c r="G87" s="24" t="s">
        <v>288</v>
      </c>
    </row>
    <row r="88" spans="1:9" x14ac:dyDescent="0.2">
      <c r="A88" s="291" t="s">
        <v>747</v>
      </c>
      <c r="B88" s="340" t="s">
        <v>184</v>
      </c>
      <c r="C88" s="341">
        <f>SUM('DOE25'!F153:F162)</f>
        <v>203649.82</v>
      </c>
      <c r="D88" s="341">
        <f>SUM('DOE25'!G153:G162)</f>
        <v>2230282.73</v>
      </c>
      <c r="E88" s="341">
        <f>SUM('DOE25'!H153:H162)</f>
        <v>10050418.939999999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203649.82</v>
      </c>
      <c r="D91" s="131">
        <f>SUM(D85:D90)</f>
        <v>2230282.73</v>
      </c>
      <c r="E91" s="131">
        <f>SUM(E85:E90)</f>
        <v>10085399.93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380000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2000000</v>
      </c>
      <c r="G96" s="95">
        <f>'DOE25'!J180</f>
        <v>140000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140925</v>
      </c>
      <c r="F99" s="95">
        <f>'DOE25'!I186</f>
        <v>0</v>
      </c>
      <c r="G99" s="24" t="s">
        <v>288</v>
      </c>
    </row>
    <row r="100" spans="1:7" x14ac:dyDescent="0.2">
      <c r="A100" t="s">
        <v>757</v>
      </c>
      <c r="B100" s="32" t="s">
        <v>190</v>
      </c>
      <c r="C100" s="95">
        <f>SUM('DOE25'!F187:F188)</f>
        <v>250000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250000</v>
      </c>
      <c r="D103" s="86">
        <f>SUM(D93:D102)</f>
        <v>0</v>
      </c>
      <c r="E103" s="86">
        <f>SUM(E93:E102)</f>
        <v>140925</v>
      </c>
      <c r="F103" s="86">
        <f>SUM(F93:F102)</f>
        <v>2380000</v>
      </c>
      <c r="G103" s="86">
        <f>SUM(G93:G102)</f>
        <v>140000</v>
      </c>
    </row>
    <row r="104" spans="1:7" ht="12.75" thickTop="1" thickBot="1" x14ac:dyDescent="0.25">
      <c r="A104" s="33" t="s">
        <v>761</v>
      </c>
      <c r="C104" s="86">
        <f>C63+C81+C91+C103</f>
        <v>164890068.62</v>
      </c>
      <c r="D104" s="86">
        <f>D63+D81+D91+D103</f>
        <v>3689686.37</v>
      </c>
      <c r="E104" s="86">
        <f>E63+E81+E91+E103</f>
        <v>11683514.59</v>
      </c>
      <c r="F104" s="86">
        <f>F63+F81+F91+F103</f>
        <v>2380000</v>
      </c>
      <c r="G104" s="86">
        <f>G63+G81+G103</f>
        <v>908807.55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61714644.360000014</v>
      </c>
      <c r="D109" s="24" t="s">
        <v>288</v>
      </c>
      <c r="E109" s="95">
        <f>('DOE25'!L277)+('DOE25'!L296)+('DOE25'!L315)</f>
        <v>2188980.7800000007</v>
      </c>
      <c r="F109" s="24" t="s">
        <v>288</v>
      </c>
      <c r="G109" s="24" t="s">
        <v>288</v>
      </c>
    </row>
    <row r="110" spans="1:7" x14ac:dyDescent="0.2">
      <c r="A110" t="s">
        <v>198</v>
      </c>
      <c r="B110" s="32" t="s">
        <v>199</v>
      </c>
      <c r="C110" s="95">
        <f>('DOE25'!L199)+('DOE25'!L217)+('DOE25'!L235)</f>
        <v>29160982.990000002</v>
      </c>
      <c r="D110" s="24" t="s">
        <v>288</v>
      </c>
      <c r="E110" s="95">
        <f>('DOE25'!L278)+('DOE25'!L297)+('DOE25'!L316)</f>
        <v>4125827.2600000002</v>
      </c>
      <c r="F110" s="24" t="s">
        <v>288</v>
      </c>
      <c r="G110" s="24" t="s">
        <v>288</v>
      </c>
    </row>
    <row r="111" spans="1:7" x14ac:dyDescent="0.2">
      <c r="A111" t="s">
        <v>200</v>
      </c>
      <c r="B111" s="32" t="s">
        <v>165</v>
      </c>
      <c r="C111" s="95">
        <f>('DOE25'!L200)+('DOE25'!L218)+('DOE25'!L236)</f>
        <v>5287302.22</v>
      </c>
      <c r="D111" s="24" t="s">
        <v>288</v>
      </c>
      <c r="E111" s="95">
        <f>('DOE25'!L279)+('DOE25'!L298)+('DOE25'!L317)</f>
        <v>408237.69</v>
      </c>
      <c r="F111" s="24" t="s">
        <v>288</v>
      </c>
      <c r="G111" s="24" t="s">
        <v>288</v>
      </c>
    </row>
    <row r="112" spans="1:7" x14ac:dyDescent="0.2">
      <c r="A112" t="s">
        <v>201</v>
      </c>
      <c r="B112" s="32" t="s">
        <v>167</v>
      </c>
      <c r="C112" s="95">
        <f>('DOE25'!L201)+('DOE25'!L219)+('DOE25'!L237)</f>
        <v>1079289.67</v>
      </c>
      <c r="D112" s="24" t="s">
        <v>288</v>
      </c>
      <c r="E112" s="95">
        <f>+('DOE25'!L280)+('DOE25'!L299)+('DOE25'!L318)</f>
        <v>1004318.3999999999</v>
      </c>
      <c r="F112" s="24" t="s">
        <v>288</v>
      </c>
      <c r="G112" s="24" t="s">
        <v>288</v>
      </c>
    </row>
    <row r="113" spans="1:7" x14ac:dyDescent="0.2">
      <c r="A113" t="s">
        <v>202</v>
      </c>
      <c r="B113" s="32" t="s">
        <v>169</v>
      </c>
      <c r="C113" s="95">
        <f>'DOE25'!L251</f>
        <v>0</v>
      </c>
      <c r="D113" s="24" t="s">
        <v>288</v>
      </c>
      <c r="E113" s="95">
        <f>+'DOE25'!L333</f>
        <v>40595.53</v>
      </c>
      <c r="F113" s="24" t="s">
        <v>288</v>
      </c>
      <c r="G113" s="24" t="s">
        <v>288</v>
      </c>
    </row>
    <row r="114" spans="1:7" ht="12" thickBot="1" x14ac:dyDescent="0.25">
      <c r="A114" t="s">
        <v>203</v>
      </c>
      <c r="B114" s="32" t="s">
        <v>204</v>
      </c>
      <c r="C114" s="95">
        <f>SUM('DOE25'!L252:L254)</f>
        <v>118011.15</v>
      </c>
      <c r="D114" s="24" t="s">
        <v>288</v>
      </c>
      <c r="E114" s="95">
        <f>+ SUM('DOE25'!L334:L336)</f>
        <v>218545.91999999998</v>
      </c>
      <c r="F114" s="24" t="s">
        <v>288</v>
      </c>
      <c r="G114" s="24" t="s">
        <v>288</v>
      </c>
    </row>
    <row r="115" spans="1:7" ht="12.75" thickTop="1" thickBot="1" x14ac:dyDescent="0.25">
      <c r="A115" s="33" t="s">
        <v>205</v>
      </c>
      <c r="C115" s="86">
        <f>SUM(C109:C114)</f>
        <v>97360230.39000003</v>
      </c>
      <c r="D115" s="86">
        <f>SUM(D109:D114)</f>
        <v>0</v>
      </c>
      <c r="E115" s="86">
        <f>SUM(E109:E114)</f>
        <v>7986505.580000001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14648064.149999999</v>
      </c>
      <c r="D118" s="24" t="s">
        <v>288</v>
      </c>
      <c r="E118" s="95">
        <f>+('DOE25'!L282)+('DOE25'!L301)+('DOE25'!L320)</f>
        <v>839244.31</v>
      </c>
      <c r="F118" s="24" t="s">
        <v>288</v>
      </c>
      <c r="G118" s="24" t="s">
        <v>288</v>
      </c>
    </row>
    <row r="119" spans="1:7" x14ac:dyDescent="0.2">
      <c r="A119" t="s">
        <v>208</v>
      </c>
      <c r="B119" s="32" t="s">
        <v>209</v>
      </c>
      <c r="C119" s="95">
        <f>('DOE25'!L204)+('DOE25'!L222)+('DOE25'!L240)</f>
        <v>6464004.2700000005</v>
      </c>
      <c r="D119" s="24" t="s">
        <v>288</v>
      </c>
      <c r="E119" s="95">
        <f>+('DOE25'!L283)+('DOE25'!L302)+('DOE25'!L321)</f>
        <v>1591401.2600000002</v>
      </c>
      <c r="F119" s="24" t="s">
        <v>288</v>
      </c>
      <c r="G119" s="24" t="s">
        <v>288</v>
      </c>
    </row>
    <row r="120" spans="1:7" x14ac:dyDescent="0.2">
      <c r="A120" t="s">
        <v>210</v>
      </c>
      <c r="B120" s="32" t="s">
        <v>211</v>
      </c>
      <c r="C120" s="95">
        <f>('DOE25'!L205)+('DOE25'!L223)+('DOE25'!L241)</f>
        <v>3402738.6300000004</v>
      </c>
      <c r="D120" s="24" t="s">
        <v>288</v>
      </c>
      <c r="E120" s="95">
        <f>+('DOE25'!L284)+('DOE25'!L303)+('DOE25'!L322)</f>
        <v>0</v>
      </c>
      <c r="F120" s="24" t="s">
        <v>288</v>
      </c>
      <c r="G120" s="24" t="s">
        <v>288</v>
      </c>
    </row>
    <row r="121" spans="1:7" x14ac:dyDescent="0.2">
      <c r="A121" t="s">
        <v>212</v>
      </c>
      <c r="B121" s="32" t="s">
        <v>213</v>
      </c>
      <c r="C121" s="95">
        <f>('DOE25'!L206)+('DOE25'!L224)+('DOE25'!L242)</f>
        <v>7202694.0499999998</v>
      </c>
      <c r="D121" s="24" t="s">
        <v>288</v>
      </c>
      <c r="E121" s="95">
        <f>+('DOE25'!L285)+('DOE25'!L304)+('DOE25'!L323)</f>
        <v>133358.9</v>
      </c>
      <c r="F121" s="24" t="s">
        <v>288</v>
      </c>
      <c r="G121" s="24" t="s">
        <v>288</v>
      </c>
    </row>
    <row r="122" spans="1:7" x14ac:dyDescent="0.2">
      <c r="A122" t="s">
        <v>214</v>
      </c>
      <c r="B122" s="32" t="s">
        <v>215</v>
      </c>
      <c r="C122" s="95">
        <f>('DOE25'!L207)+('DOE25'!L225)+('DOE25'!L243)</f>
        <v>1423270.83</v>
      </c>
      <c r="D122" s="24" t="s">
        <v>288</v>
      </c>
      <c r="E122" s="95">
        <f>+('DOE25'!L286)+('DOE25'!L305)+('DOE25'!L324)</f>
        <v>225121.36000000004</v>
      </c>
      <c r="F122" s="24" t="s">
        <v>288</v>
      </c>
      <c r="G122" s="24" t="s">
        <v>288</v>
      </c>
    </row>
    <row r="123" spans="1:7" x14ac:dyDescent="0.2">
      <c r="A123" t="s">
        <v>216</v>
      </c>
      <c r="B123" s="32" t="s">
        <v>217</v>
      </c>
      <c r="C123" s="95">
        <f>('DOE25'!L208)+('DOE25'!L226)+('DOE25'!L244)</f>
        <v>14796191.039999999</v>
      </c>
      <c r="D123" s="24" t="s">
        <v>288</v>
      </c>
      <c r="E123" s="95">
        <f>+('DOE25'!L287)+('DOE25'!L306)+('DOE25'!L325)</f>
        <v>225402.66</v>
      </c>
      <c r="F123" s="24" t="s">
        <v>288</v>
      </c>
      <c r="G123" s="24" t="s">
        <v>288</v>
      </c>
    </row>
    <row r="124" spans="1:7" x14ac:dyDescent="0.2">
      <c r="A124" t="s">
        <v>218</v>
      </c>
      <c r="B124" s="32" t="s">
        <v>219</v>
      </c>
      <c r="C124" s="95">
        <f>('DOE25'!L209)+('DOE25'!L227)+('DOE25'!L245+'DOE25'!L255)</f>
        <v>6842486.1799999997</v>
      </c>
      <c r="D124" s="24" t="s">
        <v>288</v>
      </c>
      <c r="E124" s="95">
        <f>+('DOE25'!L288)+('DOE25'!L307)+('DOE25'!L326)</f>
        <v>45684.57</v>
      </c>
      <c r="F124" s="24" t="s">
        <v>288</v>
      </c>
      <c r="G124" s="24" t="s">
        <v>288</v>
      </c>
    </row>
    <row r="125" spans="1:7" x14ac:dyDescent="0.2">
      <c r="A125" t="s">
        <v>220</v>
      </c>
      <c r="B125" s="32" t="s">
        <v>221</v>
      </c>
      <c r="C125" s="95">
        <f>('DOE25'!L210)+('DOE25'!L228)+('DOE25'!L246)</f>
        <v>584089.25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4253695.87</v>
      </c>
      <c r="E127" s="24" t="s">
        <v>288</v>
      </c>
      <c r="F127" s="24" t="s">
        <v>288</v>
      </c>
      <c r="G127" s="24" t="s">
        <v>288</v>
      </c>
    </row>
    <row r="128" spans="1:7" ht="12.75" thickTop="1" thickBot="1" x14ac:dyDescent="0.25">
      <c r="A128" s="33" t="s">
        <v>226</v>
      </c>
      <c r="C128" s="86">
        <f>SUM(C118:C127)</f>
        <v>55363538.399999999</v>
      </c>
      <c r="D128" s="86">
        <f>SUM(D118:D127)</f>
        <v>4253695.87</v>
      </c>
      <c r="E128" s="86">
        <f>SUM(E118:E127)</f>
        <v>3060213.06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133819.35999999999</v>
      </c>
      <c r="D130" s="24" t="s">
        <v>288</v>
      </c>
      <c r="E130" s="129">
        <f>'DOE25'!L337</f>
        <v>0</v>
      </c>
      <c r="F130" s="129">
        <f>SUM('DOE25'!L375:'DOE25'!L381)</f>
        <v>1482983.57</v>
      </c>
      <c r="G130" s="24" t="s">
        <v>288</v>
      </c>
    </row>
    <row r="131" spans="1:7" x14ac:dyDescent="0.2">
      <c r="A131" t="s">
        <v>229</v>
      </c>
      <c r="B131" s="32">
        <v>5110</v>
      </c>
      <c r="C131" s="95">
        <f>'DOE25'!L261</f>
        <v>8038000</v>
      </c>
      <c r="D131" s="24" t="s">
        <v>288</v>
      </c>
      <c r="E131" s="129">
        <f>'DOE25'!L342</f>
        <v>0</v>
      </c>
      <c r="F131" s="24" t="s">
        <v>288</v>
      </c>
      <c r="G131" s="24" t="s">
        <v>288</v>
      </c>
    </row>
    <row r="132" spans="1:7" x14ac:dyDescent="0.2">
      <c r="A132" t="s">
        <v>230</v>
      </c>
      <c r="B132" s="32">
        <v>5120</v>
      </c>
      <c r="C132" s="95">
        <f>'DOE25'!L262</f>
        <v>1854480.47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390925</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2000000</v>
      </c>
      <c r="D137" s="24" t="s">
        <v>288</v>
      </c>
      <c r="E137" s="129">
        <f>'DOE25'!L347</f>
        <v>0</v>
      </c>
      <c r="F137" s="24" t="s">
        <v>288</v>
      </c>
      <c r="G137" s="24" t="s">
        <v>288</v>
      </c>
    </row>
    <row r="138" spans="1:7" x14ac:dyDescent="0.2">
      <c r="A138" t="s">
        <v>238</v>
      </c>
      <c r="B138" s="32">
        <v>5251</v>
      </c>
      <c r="C138" s="95">
        <f>'DOE25'!L394</f>
        <v>153480.48000000001</v>
      </c>
      <c r="D138" s="24" t="s">
        <v>288</v>
      </c>
      <c r="E138" s="24" t="s">
        <v>288</v>
      </c>
      <c r="F138" s="24" t="s">
        <v>288</v>
      </c>
      <c r="G138" s="24" t="s">
        <v>288</v>
      </c>
    </row>
    <row r="139" spans="1:7" x14ac:dyDescent="0.2">
      <c r="A139" t="s">
        <v>239</v>
      </c>
      <c r="B139" s="32">
        <v>5252</v>
      </c>
      <c r="C139" s="95">
        <f>'DOE25'!L402</f>
        <v>207286.03</v>
      </c>
      <c r="D139" s="24" t="s">
        <v>288</v>
      </c>
      <c r="E139" s="24" t="s">
        <v>288</v>
      </c>
      <c r="F139" s="24" t="s">
        <v>288</v>
      </c>
      <c r="G139" s="24" t="s">
        <v>288</v>
      </c>
    </row>
    <row r="140" spans="1:7" x14ac:dyDescent="0.2">
      <c r="A140" t="s">
        <v>240</v>
      </c>
      <c r="B140" s="32">
        <v>5253</v>
      </c>
      <c r="C140" s="95">
        <f>'DOE25'!L408</f>
        <v>548041.04</v>
      </c>
      <c r="D140" s="24" t="s">
        <v>288</v>
      </c>
      <c r="E140" s="24" t="s">
        <v>288</v>
      </c>
      <c r="F140" s="24" t="s">
        <v>288</v>
      </c>
      <c r="G140" s="24" t="s">
        <v>288</v>
      </c>
    </row>
    <row r="141" spans="1:7" x14ac:dyDescent="0.2">
      <c r="A141" t="s">
        <v>762</v>
      </c>
      <c r="B141" s="32">
        <v>5254</v>
      </c>
      <c r="C141" s="95">
        <f>('DOE25'!L267+'DOE25'!K348) - (C138+C139+C140)</f>
        <v>-768807.55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12166299.829999998</v>
      </c>
      <c r="D144" s="141">
        <f>SUM(D130:D143)</f>
        <v>0</v>
      </c>
      <c r="E144" s="141">
        <f>SUM(E130:E143)</f>
        <v>0</v>
      </c>
      <c r="F144" s="141">
        <f>SUM(F130:F143)</f>
        <v>1482983.57</v>
      </c>
      <c r="G144" s="141">
        <f>SUM(G130:G143)</f>
        <v>390925</v>
      </c>
    </row>
    <row r="145" spans="1:9" ht="12.75" thickTop="1" thickBot="1" x14ac:dyDescent="0.25">
      <c r="A145" s="33" t="s">
        <v>244</v>
      </c>
      <c r="C145" s="86">
        <f>(C115+C128+C144)</f>
        <v>164890068.62</v>
      </c>
      <c r="D145" s="86">
        <f>(D115+D128+D144)</f>
        <v>4253695.87</v>
      </c>
      <c r="E145" s="86">
        <f>(E115+E128+E144)</f>
        <v>11046718.640000001</v>
      </c>
      <c r="F145" s="86">
        <f>(F115+F128+F144)</f>
        <v>1482983.57</v>
      </c>
      <c r="G145" s="86">
        <f>(G115+G128+G144)</f>
        <v>390925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48369000</v>
      </c>
      <c r="C156" s="137">
        <f>'DOE25'!G496</f>
        <v>0</v>
      </c>
      <c r="D156" s="137">
        <f>'DOE25'!H496</f>
        <v>0</v>
      </c>
      <c r="E156" s="137">
        <f>'DOE25'!I496</f>
        <v>0</v>
      </c>
      <c r="F156" s="137">
        <f>'DOE25'!J496</f>
        <v>0</v>
      </c>
      <c r="G156" s="138">
        <f>SUM(B156:F156)</f>
        <v>48369000</v>
      </c>
    </row>
    <row r="157" spans="1:9" x14ac:dyDescent="0.2">
      <c r="A157" s="22" t="s">
        <v>33</v>
      </c>
      <c r="B157" s="137">
        <f>'DOE25'!F497</f>
        <v>380000</v>
      </c>
      <c r="C157" s="137">
        <f>'DOE25'!G497</f>
        <v>0</v>
      </c>
      <c r="D157" s="137">
        <f>'DOE25'!H497</f>
        <v>0</v>
      </c>
      <c r="E157" s="137">
        <f>'DOE25'!I497</f>
        <v>0</v>
      </c>
      <c r="F157" s="137">
        <f>'DOE25'!J497</f>
        <v>0</v>
      </c>
      <c r="G157" s="138">
        <f t="shared" ref="G157:G164" si="0">SUM(B157:F157)</f>
        <v>380000</v>
      </c>
    </row>
    <row r="158" spans="1:9" x14ac:dyDescent="0.2">
      <c r="A158" s="22" t="s">
        <v>34</v>
      </c>
      <c r="B158" s="137">
        <f>'DOE25'!F498</f>
        <v>8038000</v>
      </c>
      <c r="C158" s="137">
        <f>'DOE25'!G498</f>
        <v>0</v>
      </c>
      <c r="D158" s="137">
        <f>'DOE25'!H498</f>
        <v>0</v>
      </c>
      <c r="E158" s="137">
        <f>'DOE25'!I498</f>
        <v>0</v>
      </c>
      <c r="F158" s="137">
        <f>'DOE25'!J498</f>
        <v>0</v>
      </c>
      <c r="G158" s="138">
        <f t="shared" si="0"/>
        <v>8038000</v>
      </c>
    </row>
    <row r="159" spans="1:9" x14ac:dyDescent="0.2">
      <c r="A159" s="22" t="s">
        <v>35</v>
      </c>
      <c r="B159" s="137">
        <f>'DOE25'!F499</f>
        <v>40711000</v>
      </c>
      <c r="C159" s="137">
        <f>'DOE25'!G499</f>
        <v>0</v>
      </c>
      <c r="D159" s="137">
        <f>'DOE25'!H499</f>
        <v>0</v>
      </c>
      <c r="E159" s="137">
        <f>'DOE25'!I499</f>
        <v>0</v>
      </c>
      <c r="F159" s="137">
        <f>'DOE25'!J499</f>
        <v>0</v>
      </c>
      <c r="G159" s="138">
        <f t="shared" si="0"/>
        <v>40711000</v>
      </c>
    </row>
    <row r="160" spans="1:9" x14ac:dyDescent="0.2">
      <c r="A160" s="22" t="s">
        <v>36</v>
      </c>
      <c r="B160" s="137">
        <f>'DOE25'!F500</f>
        <v>8011437.7300000004</v>
      </c>
      <c r="C160" s="137">
        <f>'DOE25'!G500</f>
        <v>0</v>
      </c>
      <c r="D160" s="137">
        <f>'DOE25'!H500</f>
        <v>0</v>
      </c>
      <c r="E160" s="137">
        <f>'DOE25'!I500</f>
        <v>0</v>
      </c>
      <c r="F160" s="137">
        <f>'DOE25'!J500</f>
        <v>0</v>
      </c>
      <c r="G160" s="138">
        <f t="shared" si="0"/>
        <v>8011437.7300000004</v>
      </c>
    </row>
    <row r="161" spans="1:7" x14ac:dyDescent="0.2">
      <c r="A161" s="22" t="s">
        <v>37</v>
      </c>
      <c r="B161" s="137">
        <f>'DOE25'!F501</f>
        <v>48722437.730000004</v>
      </c>
      <c r="C161" s="137">
        <f>'DOE25'!G501</f>
        <v>0</v>
      </c>
      <c r="D161" s="137">
        <f>'DOE25'!H501</f>
        <v>0</v>
      </c>
      <c r="E161" s="137">
        <f>'DOE25'!I501</f>
        <v>0</v>
      </c>
      <c r="F161" s="137">
        <f>'DOE25'!J501</f>
        <v>0</v>
      </c>
      <c r="G161" s="138">
        <f t="shared" si="0"/>
        <v>48722437.730000004</v>
      </c>
    </row>
    <row r="162" spans="1:7" x14ac:dyDescent="0.2">
      <c r="A162" s="22" t="s">
        <v>38</v>
      </c>
      <c r="B162" s="137">
        <f>'DOE25'!F502</f>
        <v>7829000</v>
      </c>
      <c r="C162" s="137">
        <f>'DOE25'!G502</f>
        <v>0</v>
      </c>
      <c r="D162" s="137">
        <f>'DOE25'!H502</f>
        <v>0</v>
      </c>
      <c r="E162" s="137">
        <f>'DOE25'!I502</f>
        <v>0</v>
      </c>
      <c r="F162" s="137">
        <f>'DOE25'!J502</f>
        <v>0</v>
      </c>
      <c r="G162" s="138">
        <f t="shared" si="0"/>
        <v>7829000</v>
      </c>
    </row>
    <row r="163" spans="1:7" x14ac:dyDescent="0.2">
      <c r="A163" s="22" t="s">
        <v>39</v>
      </c>
      <c r="B163" s="137">
        <f>'DOE25'!F503</f>
        <v>1520941</v>
      </c>
      <c r="C163" s="137">
        <f>'DOE25'!G503</f>
        <v>0</v>
      </c>
      <c r="D163" s="137">
        <f>'DOE25'!H503</f>
        <v>0</v>
      </c>
      <c r="E163" s="137">
        <f>'DOE25'!I503</f>
        <v>0</v>
      </c>
      <c r="F163" s="137">
        <f>'DOE25'!J503</f>
        <v>0</v>
      </c>
      <c r="G163" s="138">
        <f t="shared" si="0"/>
        <v>1520941</v>
      </c>
    </row>
    <row r="164" spans="1:7" x14ac:dyDescent="0.2">
      <c r="A164" s="22" t="s">
        <v>246</v>
      </c>
      <c r="B164" s="137">
        <f>'DOE25'!F504</f>
        <v>9349941</v>
      </c>
      <c r="C164" s="137">
        <f>'DOE25'!G504</f>
        <v>0</v>
      </c>
      <c r="D164" s="137">
        <f>'DOE25'!H504</f>
        <v>0</v>
      </c>
      <c r="E164" s="137">
        <f>'DOE25'!I504</f>
        <v>0</v>
      </c>
      <c r="F164" s="137">
        <f>'DOE25'!J504</f>
        <v>0</v>
      </c>
      <c r="G164" s="138">
        <f t="shared" si="0"/>
        <v>9349941</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Nashua</v>
      </c>
    </row>
    <row r="3" spans="1:4" x14ac:dyDescent="0.2">
      <c r="B3" s="188" t="s">
        <v>1587</v>
      </c>
    </row>
    <row r="4" spans="1:4" x14ac:dyDescent="0.2">
      <c r="B4" t="s">
        <v>61</v>
      </c>
      <c r="C4" s="179">
        <f>IF('DOE25'!F666+'DOE25'!F671=0,0,ROUND('DOE25'!F673,0))</f>
        <v>15241</v>
      </c>
    </row>
    <row r="5" spans="1:4" x14ac:dyDescent="0.2">
      <c r="B5" t="s">
        <v>700</v>
      </c>
      <c r="C5" s="179">
        <f>IF('DOE25'!G666+'DOE25'!G671=0,0,ROUND('DOE25'!G673,0))</f>
        <v>13619</v>
      </c>
    </row>
    <row r="6" spans="1:4" x14ac:dyDescent="0.2">
      <c r="B6" t="s">
        <v>62</v>
      </c>
      <c r="C6" s="179">
        <f>IF('DOE25'!H666+'DOE25'!H671=0,0,ROUND('DOE25'!H673,0))</f>
        <v>12033</v>
      </c>
    </row>
    <row r="7" spans="1:4" x14ac:dyDescent="0.2">
      <c r="B7" t="s">
        <v>701</v>
      </c>
      <c r="C7" s="179">
        <f>IF('DOE25'!I666+'DOE25'!I671=0,0,ROUND('DOE25'!I673,0))</f>
        <v>13831</v>
      </c>
    </row>
    <row r="9" spans="1:4" x14ac:dyDescent="0.2">
      <c r="A9" s="187" t="s">
        <v>94</v>
      </c>
      <c r="B9" s="188" t="s">
        <v>1588</v>
      </c>
      <c r="C9" s="181" t="s">
        <v>720</v>
      </c>
      <c r="D9" s="181" t="s">
        <v>721</v>
      </c>
    </row>
    <row r="10" spans="1:4" x14ac:dyDescent="0.2">
      <c r="A10">
        <v>1100</v>
      </c>
      <c r="B10" t="s">
        <v>702</v>
      </c>
      <c r="C10" s="179">
        <f>ROUND('DOE25'!L198+'DOE25'!L216+'DOE25'!L234+'DOE25'!L277+'DOE25'!L296+'DOE25'!L315,0)</f>
        <v>63903625</v>
      </c>
      <c r="D10" s="182">
        <f>ROUND((C10/$C$28)*100,1)</f>
        <v>37.9</v>
      </c>
    </row>
    <row r="11" spans="1:4" x14ac:dyDescent="0.2">
      <c r="A11">
        <v>1200</v>
      </c>
      <c r="B11" t="s">
        <v>703</v>
      </c>
      <c r="C11" s="179">
        <f>ROUND('DOE25'!L199+'DOE25'!L217+'DOE25'!L235+'DOE25'!L278+'DOE25'!L297+'DOE25'!L316,0)</f>
        <v>33286810</v>
      </c>
      <c r="D11" s="182">
        <f>ROUND((C11/$C$28)*100,1)</f>
        <v>19.8</v>
      </c>
    </row>
    <row r="12" spans="1:4" x14ac:dyDescent="0.2">
      <c r="A12">
        <v>1300</v>
      </c>
      <c r="B12" t="s">
        <v>704</v>
      </c>
      <c r="C12" s="179">
        <f>ROUND('DOE25'!L200+'DOE25'!L218+'DOE25'!L236+'DOE25'!L279+'DOE25'!L298+'DOE25'!L317,0)</f>
        <v>5695540</v>
      </c>
      <c r="D12" s="182">
        <f>ROUND((C12/$C$28)*100,1)</f>
        <v>3.4</v>
      </c>
    </row>
    <row r="13" spans="1:4" x14ac:dyDescent="0.2">
      <c r="A13">
        <v>1400</v>
      </c>
      <c r="B13" t="s">
        <v>705</v>
      </c>
      <c r="C13" s="179">
        <f>ROUND('DOE25'!L201+'DOE25'!L219+'DOE25'!L237+'DOE25'!L280+'DOE25'!L299+'DOE25'!L318,0)</f>
        <v>2083608</v>
      </c>
      <c r="D13" s="182">
        <f>ROUND((C13/$C$28)*100,1)</f>
        <v>1.2</v>
      </c>
    </row>
    <row r="14" spans="1:4" x14ac:dyDescent="0.2">
      <c r="D14" s="182"/>
    </row>
    <row r="15" spans="1:4" x14ac:dyDescent="0.2">
      <c r="A15">
        <v>2100</v>
      </c>
      <c r="B15" t="s">
        <v>706</v>
      </c>
      <c r="C15" s="179">
        <f>ROUND('DOE25'!L203+'DOE25'!L221+'DOE25'!L239+'DOE25'!L282+'DOE25'!L301+'DOE25'!L320,0)</f>
        <v>15487308</v>
      </c>
      <c r="D15" s="182">
        <f t="shared" ref="D15:D27" si="0">ROUND((C15/$C$28)*100,1)</f>
        <v>9.1999999999999993</v>
      </c>
    </row>
    <row r="16" spans="1:4" x14ac:dyDescent="0.2">
      <c r="A16">
        <v>2200</v>
      </c>
      <c r="B16" t="s">
        <v>707</v>
      </c>
      <c r="C16" s="179">
        <f>ROUND('DOE25'!L204+'DOE25'!L222+'DOE25'!L240+'DOE25'!L283+'DOE25'!L302+'DOE25'!L321,0)</f>
        <v>8055406</v>
      </c>
      <c r="D16" s="182">
        <f t="shared" si="0"/>
        <v>4.8</v>
      </c>
    </row>
    <row r="17" spans="1:4" x14ac:dyDescent="0.2">
      <c r="A17" s="183" t="s">
        <v>723</v>
      </c>
      <c r="B17" t="s">
        <v>738</v>
      </c>
      <c r="C17" s="179">
        <f>ROUND('DOE25'!L205+'DOE25'!L210+'DOE25'!L223+'DOE25'!L228+'DOE25'!L241+'DOE25'!L246+'DOE25'!L284+'DOE25'!L289+'DOE25'!L303+'DOE25'!L308+'DOE25'!L322+'DOE25'!L327,0)</f>
        <v>3986828</v>
      </c>
      <c r="D17" s="182">
        <f t="shared" si="0"/>
        <v>2.4</v>
      </c>
    </row>
    <row r="18" spans="1:4" x14ac:dyDescent="0.2">
      <c r="A18">
        <v>2400</v>
      </c>
      <c r="B18" t="s">
        <v>711</v>
      </c>
      <c r="C18" s="179">
        <f>ROUND('DOE25'!L206+'DOE25'!L224+'DOE25'!L242+'DOE25'!L285+'DOE25'!L304+'DOE25'!L323,0)</f>
        <v>7336053</v>
      </c>
      <c r="D18" s="182">
        <f t="shared" si="0"/>
        <v>4.4000000000000004</v>
      </c>
    </row>
    <row r="19" spans="1:4" x14ac:dyDescent="0.2">
      <c r="A19">
        <v>2500</v>
      </c>
      <c r="B19" t="s">
        <v>708</v>
      </c>
      <c r="C19" s="179">
        <f>ROUND('DOE25'!L207+'DOE25'!L225+'DOE25'!L243+'DOE25'!L286+'DOE25'!L305+'DOE25'!L324,0)</f>
        <v>1648392</v>
      </c>
      <c r="D19" s="182">
        <f t="shared" si="0"/>
        <v>1</v>
      </c>
    </row>
    <row r="20" spans="1:4" x14ac:dyDescent="0.2">
      <c r="A20">
        <v>2600</v>
      </c>
      <c r="B20" t="s">
        <v>709</v>
      </c>
      <c r="C20" s="179">
        <f>ROUND('DOE25'!L208+'DOE25'!L226+'DOE25'!L244+'DOE25'!L287+'DOE25'!L306+'DOE25'!L325,0)</f>
        <v>15021594</v>
      </c>
      <c r="D20" s="182">
        <f t="shared" si="0"/>
        <v>8.9</v>
      </c>
    </row>
    <row r="21" spans="1:4" x14ac:dyDescent="0.2">
      <c r="A21">
        <v>2700</v>
      </c>
      <c r="B21" t="s">
        <v>710</v>
      </c>
      <c r="C21" s="179">
        <f>ROUND('DOE25'!L209+'DOE25'!L227+'DOE25'!L245+'DOE25'!L288+'DOE25'!L307+'DOE25'!L326,0)</f>
        <v>6888171</v>
      </c>
      <c r="D21" s="182">
        <f t="shared" si="0"/>
        <v>4.0999999999999996</v>
      </c>
    </row>
    <row r="22" spans="1:4" x14ac:dyDescent="0.2">
      <c r="A22">
        <v>2900</v>
      </c>
      <c r="B22" t="s">
        <v>712</v>
      </c>
      <c r="C22" s="179">
        <v>0</v>
      </c>
      <c r="D22" s="182">
        <f t="shared" si="0"/>
        <v>0</v>
      </c>
    </row>
    <row r="23" spans="1:4" x14ac:dyDescent="0.2">
      <c r="A23">
        <v>1500</v>
      </c>
      <c r="B23" t="s">
        <v>714</v>
      </c>
      <c r="C23" s="179">
        <f>ROUND('DOE25'!L251+'DOE25'!L333,0)</f>
        <v>40596</v>
      </c>
      <c r="D23" s="182">
        <f t="shared" si="0"/>
        <v>0</v>
      </c>
    </row>
    <row r="24" spans="1:4" x14ac:dyDescent="0.2">
      <c r="A24" s="183" t="s">
        <v>722</v>
      </c>
      <c r="B24" t="s">
        <v>715</v>
      </c>
      <c r="C24" s="179">
        <f>ROUND('DOE25'!L252+'DOE25'!L253+'DOE25'!L254+'DOE25'!L255+'DOE25'!L334+'DOE25'!L335+'DOE25'!L336,0)</f>
        <v>336557</v>
      </c>
      <c r="D24" s="182">
        <f t="shared" si="0"/>
        <v>0.2</v>
      </c>
    </row>
    <row r="25" spans="1:4" x14ac:dyDescent="0.2">
      <c r="A25">
        <v>5120</v>
      </c>
      <c r="B25" t="s">
        <v>716</v>
      </c>
      <c r="C25" s="179">
        <f>ROUND('DOE25'!L262+'DOE25'!L343,0)</f>
        <v>1854480</v>
      </c>
      <c r="D25" s="182">
        <f t="shared" si="0"/>
        <v>1.1000000000000001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2881685.27</v>
      </c>
      <c r="D27" s="182">
        <f t="shared" si="0"/>
        <v>1.7</v>
      </c>
    </row>
    <row r="28" spans="1:4" x14ac:dyDescent="0.2">
      <c r="B28" s="187" t="s">
        <v>719</v>
      </c>
      <c r="C28" s="180">
        <f>SUM(C10:C27)</f>
        <v>168506653.27000001</v>
      </c>
      <c r="D28" s="184">
        <f>ROUND(SUM(D10:D27),0)</f>
        <v>100</v>
      </c>
    </row>
    <row r="29" spans="1:4" x14ac:dyDescent="0.2">
      <c r="A29">
        <v>4000</v>
      </c>
      <c r="B29" t="s">
        <v>724</v>
      </c>
      <c r="C29" s="179">
        <f>ROUND('DOE25'!L256+'DOE25'!L337+'DOE25'!L375+'DOE25'!L376+'DOE25'!L377+'DOE25'!L378+'DOE25'!L379+'DOE25'!L380+'DOE25'!L381,0)</f>
        <v>1616803</v>
      </c>
    </row>
    <row r="30" spans="1:4" x14ac:dyDescent="0.2">
      <c r="B30" s="187" t="s">
        <v>725</v>
      </c>
      <c r="C30" s="180">
        <f>SUM(C28:C29)</f>
        <v>170123456.27000001</v>
      </c>
    </row>
    <row r="31" spans="1:4" x14ac:dyDescent="0.2">
      <c r="B31" s="33"/>
      <c r="C31" s="180"/>
    </row>
    <row r="32" spans="1:4" x14ac:dyDescent="0.2">
      <c r="A32">
        <v>5100</v>
      </c>
      <c r="B32" s="33" t="s">
        <v>726</v>
      </c>
      <c r="C32" s="180">
        <f>ROUND('DOE25'!L261+'DOE25'!L342,0)</f>
        <v>8038000</v>
      </c>
    </row>
    <row r="34" spans="1:4" x14ac:dyDescent="0.2">
      <c r="A34" s="187" t="s">
        <v>94</v>
      </c>
      <c r="B34" s="188" t="s">
        <v>1589</v>
      </c>
      <c r="C34" s="181" t="s">
        <v>720</v>
      </c>
      <c r="D34" s="181" t="s">
        <v>721</v>
      </c>
    </row>
    <row r="35" spans="1:4" x14ac:dyDescent="0.2">
      <c r="A35">
        <v>1100</v>
      </c>
      <c r="B35" s="185" t="s">
        <v>727</v>
      </c>
      <c r="C35" s="179">
        <f>ROUND('DOE25'!F60+'DOE25'!G60+'DOE25'!H60+'DOE25'!I60+'DOE25'!J60,0)</f>
        <v>101661161</v>
      </c>
      <c r="D35" s="182">
        <f t="shared" ref="D35:D40" si="1">ROUND((C35/$C$41)*100,1)</f>
        <v>56.7</v>
      </c>
    </row>
    <row r="36" spans="1:4" x14ac:dyDescent="0.2">
      <c r="B36" s="185" t="s">
        <v>739</v>
      </c>
      <c r="C36" s="179">
        <f>SUM('DOE25'!F112:J112)-SUM('DOE25'!G97:G110)+('DOE25'!F175+'DOE25'!F176+'DOE25'!I175+'DOE25'!I176)-C35</f>
        <v>2037385.8199999928</v>
      </c>
      <c r="D36" s="182">
        <f t="shared" si="1"/>
        <v>1.1000000000000001</v>
      </c>
    </row>
    <row r="37" spans="1:4" x14ac:dyDescent="0.2">
      <c r="A37" s="183" t="s">
        <v>835</v>
      </c>
      <c r="B37" s="185" t="s">
        <v>728</v>
      </c>
      <c r="C37" s="179">
        <f>ROUND('DOE25'!F117+'DOE25'!F118,0)</f>
        <v>58905835</v>
      </c>
      <c r="D37" s="182">
        <f t="shared" si="1"/>
        <v>32.9</v>
      </c>
    </row>
    <row r="38" spans="1:4" x14ac:dyDescent="0.2">
      <c r="A38" s="183" t="s">
        <v>734</v>
      </c>
      <c r="B38" s="185" t="s">
        <v>729</v>
      </c>
      <c r="C38" s="179">
        <f>ROUND(SUM('DOE25'!F140:J140)-SUM('DOE25'!F117:F119),0)</f>
        <v>4145427</v>
      </c>
      <c r="D38" s="182">
        <f t="shared" si="1"/>
        <v>2.2999999999999998</v>
      </c>
    </row>
    <row r="39" spans="1:4" x14ac:dyDescent="0.2">
      <c r="A39">
        <v>4000</v>
      </c>
      <c r="B39" s="185" t="s">
        <v>730</v>
      </c>
      <c r="C39" s="179">
        <f>ROUND('DOE25'!F170+'DOE25'!G170+'DOE25'!H170+'DOE25'!I170,0)</f>
        <v>12519332</v>
      </c>
      <c r="D39" s="182">
        <f t="shared" si="1"/>
        <v>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179269140.81999999</v>
      </c>
      <c r="D41" s="184">
        <f>SUM(D35:D40)</f>
        <v>100</v>
      </c>
    </row>
    <row r="42" spans="1:4" x14ac:dyDescent="0.2">
      <c r="A42" s="183" t="s">
        <v>737</v>
      </c>
      <c r="B42" s="185" t="s">
        <v>733</v>
      </c>
      <c r="C42" s="179">
        <f>ROUND('DOE25'!F174+'DOE25'!I174+'DOE25'!F177+'DOE25'!I177,0)</f>
        <v>380000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Nashua</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2020-11-20T19:48:37Z</cp:lastPrinted>
  <dcterms:created xsi:type="dcterms:W3CDTF">1997-12-04T19:04:30Z</dcterms:created>
  <dcterms:modified xsi:type="dcterms:W3CDTF">2020-12-11T19:32:43Z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