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469" i="1" l="1"/>
  <c r="H199" i="1" l="1"/>
  <c r="H234" i="1"/>
  <c r="H198" i="1"/>
  <c r="H527" i="1" l="1"/>
  <c r="H522" i="1"/>
  <c r="J204" i="1" l="1"/>
  <c r="G204" i="1"/>
  <c r="K205" i="1"/>
  <c r="J198" i="1"/>
  <c r="H208" i="1"/>
  <c r="H205" i="1"/>
  <c r="H204" i="1"/>
  <c r="H203" i="1"/>
  <c r="H201"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E110" i="2" s="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32" i="10" s="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G339" i="1" s="1"/>
  <c r="G353" i="1" s="1"/>
  <c r="H291" i="1"/>
  <c r="I291" i="1"/>
  <c r="F310" i="1"/>
  <c r="G310" i="1"/>
  <c r="H310" i="1"/>
  <c r="I310" i="1"/>
  <c r="F329" i="1"/>
  <c r="G329" i="1"/>
  <c r="H329" i="1"/>
  <c r="I329" i="1"/>
  <c r="F338" i="1"/>
  <c r="G338" i="1"/>
  <c r="H338" i="1"/>
  <c r="I338" i="1"/>
  <c r="J338" i="1"/>
  <c r="K338" i="1"/>
  <c r="K339" i="1" s="1"/>
  <c r="F363" i="1"/>
  <c r="G363" i="1"/>
  <c r="H363" i="1"/>
  <c r="I363" i="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51" i="1"/>
  <c r="G652" i="1"/>
  <c r="J652" i="1" s="1"/>
  <c r="G653" i="1"/>
  <c r="H653" i="1"/>
  <c r="G654" i="1"/>
  <c r="H654" i="1"/>
  <c r="G655" i="1"/>
  <c r="H655" i="1"/>
  <c r="H656" i="1"/>
  <c r="A40" i="12"/>
  <c r="G62" i="2"/>
  <c r="J572" i="1"/>
  <c r="I170" i="1"/>
  <c r="J140" i="1"/>
  <c r="H140" i="1"/>
  <c r="C11" i="10" l="1"/>
  <c r="G553" i="1"/>
  <c r="H477" i="1"/>
  <c r="H625" i="1" s="1"/>
  <c r="J625" i="1" s="1"/>
  <c r="G477" i="1"/>
  <c r="I370" i="1"/>
  <c r="H635" i="1" s="1"/>
  <c r="J656" i="1"/>
  <c r="G646" i="1"/>
  <c r="J646" i="1" s="1"/>
  <c r="K353" i="1"/>
  <c r="G409" i="1"/>
  <c r="H646" i="1" s="1"/>
  <c r="L402" i="1"/>
  <c r="C139" i="2" s="1"/>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G36" i="14" s="1"/>
  <c r="H36" i="14" s="1"/>
  <c r="I36" i="14" s="1"/>
  <c r="L212" i="1"/>
  <c r="H648" i="1"/>
  <c r="J645" i="1"/>
  <c r="J635"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D103" i="2"/>
  <c r="I140" i="1"/>
  <c r="A22" i="12"/>
  <c r="G50" i="2"/>
  <c r="H649" i="1"/>
  <c r="J653" i="1"/>
  <c r="G572" i="1"/>
  <c r="I435" i="1"/>
  <c r="G435" i="1"/>
  <c r="I664" i="1"/>
  <c r="F661" i="1" l="1"/>
  <c r="C141" i="2"/>
  <c r="C144" i="2" s="1"/>
  <c r="E51" i="2"/>
  <c r="E145" i="2"/>
  <c r="F194" i="1"/>
  <c r="G628" i="1" s="1"/>
  <c r="J628" i="1"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<sst xmlns="http://schemas.openxmlformats.org/spreadsheetml/2006/main" count="5545" uniqueCount="1643">
  <si>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</si>
  <si>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</si>
  <si>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</si>
  <si>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</si>
  <si>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</si>
  <si>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</si>
  <si>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</si>
  <si>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</si>
  <si>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</si>
  <si>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</si>
  <si>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</si>
  <si>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</si>
  <si>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</si>
  <si>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</si>
  <si>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</si>
  <si>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</si>
  <si>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</si>
  <si>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</si>
  <si>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</si>
  <si>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</si>
  <si>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</si>
  <si>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</si>
  <si>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</si>
  <si>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</si>
  <si>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</si>
  <si>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</si>
  <si>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</si>
  <si>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</si>
  <si>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</si>
  <si>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</si>
  <si>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</si>
  <si>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</si>
  <si>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</si>
  <si>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</si>
  <si>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</si>
  <si>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</si>
  <si>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</si>
  <si>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</si>
  <si>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</si>
  <si>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</si>
  <si>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</si>
  <si>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</si>
  <si>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</si>
  <si>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</si>
  <si>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</si>
  <si>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</si>
  <si>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</si>
  <si>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</si>
  <si>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</si>
  <si>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</si>
  <si>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</si>
  <si>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</si>
  <si>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</si>
  <si>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</si>
  <si>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</si>
  <si>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</si>
  <si>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</si>
  <si>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</si>
  <si>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</si>
  <si>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</si>
  <si>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</si>
  <si>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</si>
  <si>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</si>
  <si>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</si>
  <si>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</si>
  <si>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</si>
  <si>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</si>
  <si>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</si>
  <si>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</si>
  <si>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</si>
  <si>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</si>
  <si>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</si>
  <si>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</si>
  <si>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</si>
  <si>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</si>
  <si>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</si>
  <si>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</si>
  <si>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</si>
  <si>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</si>
  <si>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</si>
  <si>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</si>
  <si>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</si>
  <si>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</si>
  <si>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</si>
  <si>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</si>
  <si>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</si>
  <si>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</si>
  <si>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</si>
  <si>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</si>
  <si>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</si>
  <si>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</si>
  <si>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</si>
  <si>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</si>
  <si>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</si>
  <si>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</si>
  <si>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</si>
  <si>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</si>
  <si>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</si>
  <si>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</si>
  <si>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</si>
  <si>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</si>
  <si>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</si>
  <si>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</si>
  <si>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</si>
  <si>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</si>
  <si>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</si>
  <si>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</si>
  <si>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</si>
  <si>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</si>
  <si>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</si>
  <si>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</si>
  <si>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</si>
  <si>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</si>
  <si>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</si>
  <si>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</si>
  <si>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</si>
  <si>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</si>
  <si>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</si>
  <si>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</si>
  <si>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</si>
  <si>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</si>
  <si>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</si>
  <si>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</si>
  <si>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</si>
  <si>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</si>
  <si>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</si>
  <si>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</si>
  <si>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</si>
  <si>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</si>
  <si>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</si>
  <si>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</si>
  <si>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</si>
  <si>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</si>
  <si>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</si>
  <si>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</si>
  <si>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</si>
  <si>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</si>
  <si>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</si>
  <si>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</si>
  <si>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</si>
  <si>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</si>
  <si>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</si>
  <si>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</si>
  <si>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</si>
  <si>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</si>
  <si>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</si>
  <si>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</si>
  <si>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</si>
  <si>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</si>
  <si>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</si>
  <si>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</si>
  <si>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</si>
  <si>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</si>
  <si>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</si>
  <si>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</si>
  <si>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</si>
  <si>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</si>
  <si>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</si>
  <si>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</si>
  <si>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</si>
  <si>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</si>
  <si>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</si>
  <si>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</si>
  <si>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</si>
  <si>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</si>
  <si>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</si>
  <si>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</si>
  <si>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</si>
  <si>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</si>
  <si>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</si>
  <si>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</si>
  <si>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</si>
  <si>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</si>
  <si>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</si>
  <si>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</si>
  <si>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</si>
  <si>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</si>
  <si>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</si>
  <si>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</si>
  <si>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</si>
  <si>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</si>
  <si>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</si>
  <si>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</si>
  <si>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</si>
  <si>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</si>
  <si>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</si>
  <si>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</si>
  <si>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</si>
  <si>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</si>
  <si>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</si>
  <si>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</si>
  <si>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</si>
  <si>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</si>
  <si>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</si>
  <si>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</si>
  <si>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</si>
  <si>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</si>
  <si>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</si>
  <si>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</si>
  <si>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</si>
  <si>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</si>
  <si>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</si>
  <si>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</si>
  <si>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</si>
  <si>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</si>
  <si>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</si>
  <si>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</si>
  <si>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</si>
  <si>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</si>
  <si>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</si>
  <si>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</si>
  <si>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</si>
  <si>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</si>
  <si>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</si>
  <si>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</si>
  <si>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</si>
  <si>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</si>
  <si>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</si>
  <si>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</si>
  <si>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</si>
  <si>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</si>
  <si>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</si>
  <si>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</si>
  <si>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</si>
  <si>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</si>
  <si>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</si>
  <si>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</si>
  <si>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</si>
  <si>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</si>
  <si>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</si>
  <si>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</si>
  <si>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</si>
  <si>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</si>
  <si>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</si>
  <si>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</si>
  <si>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</si>
  <si>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</si>
  <si>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</si>
  <si>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</si>
  <si>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</si>
  <si>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</si>
  <si>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</si>
  <si>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</si>
  <si>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</si>
  <si>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</si>
  <si>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</si>
  <si>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</si>
  <si>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</si>
  <si>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</si>
  <si>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</si>
  <si>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</si>
  <si>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</si>
  <si>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</si>
  <si>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</si>
  <si>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</si>
  <si>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</si>
  <si>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</si>
  <si>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</si>
  <si>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</si>
  <si>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</si>
  <si>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</si>
  <si>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</si>
  <si>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</si>
  <si>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</si>
  <si>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</si>
  <si>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</si>
  <si>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</si>
  <si>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</si>
  <si>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</si>
  <si>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</si>
  <si>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</si>
  <si>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</si>
  <si>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</si>
  <si>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</si>
  <si>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</si>
  <si>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</si>
  <si>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</si>
  <si>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</si>
  <si>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</si>
  <si>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</si>
  <si>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</si>
  <si>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</si>
  <si>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</si>
  <si>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</si>
  <si>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</si>
  <si>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</si>
  <si>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</si>
  <si>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</si>
  <si>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</si>
  <si>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</si>
  <si>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</si>
  <si>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</si>
  <si>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</si>
  <si>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</si>
  <si>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</si>
  <si>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</si>
  <si>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</si>
  <si>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</si>
  <si>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</si>
  <si>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</si>
  <si>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</si>
  <si>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</si>
  <si>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</si>
  <si>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</si>
  <si>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</si>
  <si>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</si>
  <si>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</si>
  <si>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</si>
  <si>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</si>
  <si>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</si>
  <si>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</si>
  <si>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</si>
  <si>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</si>
  <si>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</si>
  <si>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</si>
  <si>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</si>
  <si>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</si>
  <si>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</si>
  <si>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</si>
  <si>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</si>
  <si>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</si>
  <si>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</si>
  <si>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</si>
  <si>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</si>
  <si>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</si>
  <si>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</si>
  <si>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</si>
  <si>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</si>
  <si>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</si>
  <si>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</si>
  <si>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</si>
  <si>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</si>
  <si>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</si>
  <si>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</si>
  <si>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</si>
  <si>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</si>
  <si>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</si>
  <si>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</si>
  <si>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</si>
  <si>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</si>
  <si>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</si>
  <si>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</si>
  <si>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</si>
  <si>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</si>
  <si>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</si>
  <si>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</si>
  <si>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</si>
  <si>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</si>
  <si>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</si>
  <si>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</si>
  <si>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</si>
  <si>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</si>
  <si>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</si>
  <si>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</si>
  <si>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</si>
  <si>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</si>
  <si>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</si>
  <si>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</si>
  <si>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</si>
  <si>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</si>
  <si>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</si>
  <si>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</si>
  <si>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</si>
  <si>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</si>
  <si>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</si>
  <si>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</si>
  <si>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</si>
  <si>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</si>
  <si>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</si>
  <si>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</si>
  <si>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</si>
  <si>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</si>
  <si>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</si>
  <si>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</si>
  <si>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</si>
  <si>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</si>
  <si>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</si>
  <si>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</si>
  <si>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</si>
  <si>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</si>
  <si>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</si>
  <si>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</si>
  <si>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</si>
  <si>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</si>
  <si>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</si>
  <si>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</si>
  <si>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</si>
  <si>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</si>
  <si>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</si>
  <si>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</si>
  <si>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</si>
  <si>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</si>
  <si>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</si>
  <si>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</si>
  <si>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</si>
  <si>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</si>
  <si>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</si>
  <si>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</si>
  <si>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</si>
  <si>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</si>
  <si>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</si>
  <si>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</si>
  <si>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</si>
  <si>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</si>
  <si>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</si>
  <si>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</si>
  <si>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</si>
  <si>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</si>
  <si>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</si>
  <si>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</si>
  <si>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</si>
  <si>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</si>
  <si>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</si>
  <si>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</si>
  <si>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</si>
  <si>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</si>
  <si>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</si>
  <si>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</si>
  <si>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</si>
  <si>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</si>
  <si>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</si>
  <si>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</si>
  <si>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</si>
  <si>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</si>
  <si>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</si>
  <si>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</si>
  <si>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</si>
  <si>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</si>
  <si>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</si>
  <si>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</si>
  <si>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</si>
  <si>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</si>
  <si>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</si>
  <si>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</si>
  <si>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</si>
  <si>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</si>
  <si>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</si>
  <si>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</si>
  <si>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</si>
  <si>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</si>
  <si>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</si>
  <si>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</si>
  <si>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</si>
  <si>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</si>
  <si>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</si>
  <si>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</si>
  <si>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</si>
  <si>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</si>
  <si>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</si>
  <si>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</si>
  <si>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</si>
  <si>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</si>
  <si>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</si>
  <si>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</si>
  <si>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</si>
  <si>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</si>
  <si>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</si>
  <si>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</si>
  <si>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</si>
  <si>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</si>
  <si>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</si>
  <si>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</si>
  <si>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</si>
  <si>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</si>
  <si>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</si>
  <si>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</si>
  <si>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</si>
  <si>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</si>
  <si>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</si>
  <si>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</si>
  <si>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</si>
  <si>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</si>
  <si>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</si>
  <si>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</si>
  <si>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</si>
  <si>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</si>
  <si>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</si>
  <si>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</si>
  <si>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</si>
  <si>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</si>
  <si>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</si>
  <si>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</si>
  <si>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</si>
  <si>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</si>
  <si>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</si>
  <si>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</si>
  <si>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</si>
  <si>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</si>
  <si>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</si>
  <si>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</si>
  <si>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</si>
  <si>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</si>
  <si>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</si>
  <si>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</si>
  <si>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</si>
  <si>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</si>
  <si>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</si>
  <si>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</si>
  <si>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</si>
  <si>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</si>
  <si>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</si>
  <si>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</si>
  <si>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</si>
  <si>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</si>
  <si>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</si>
  <si>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</si>
  <si>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</si>
  <si>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</si>
  <si>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</si>
  <si>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</si>
  <si>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</si>
  <si>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</si>
  <si>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</si>
  <si>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</si>
  <si>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</si>
  <si>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</si>
  <si>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</si>
  <si>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</si>
  <si>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</si>
  <si>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</si>
  <si>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</si>
  <si>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</si>
  <si>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</si>
  <si>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</si>
  <si>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</si>
  <si>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</si>
  <si>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</si>
  <si>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</si>
  <si>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</si>
  <si>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</si>
  <si>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</si>
  <si>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</si>
  <si>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</si>
  <si>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</si>
  <si>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</si>
  <si>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</si>
  <si>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</si>
  <si>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</si>
  <si>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</si>
  <si>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</si>
  <si>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</si>
  <si>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</si>
  <si>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</si>
  <si>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</si>
  <si>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</si>
  <si>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</si>
  <si>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</si>
  <si>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</si>
  <si>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</si>
  <si>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</si>
  <si>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</si>
  <si>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</si>
  <si>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</si>
  <si>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</si>
  <si>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</si>
  <si>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</si>
  <si>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</si>
  <si>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</si>
  <si>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</si>
  <si>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</si>
  <si>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</si>
  <si>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</si>
  <si>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</si>
  <si>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</si>
  <si>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</si>
  <si>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</si>
  <si>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</si>
  <si>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</si>
  <si>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</si>
  <si>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</si>
  <si>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</si>
  <si>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</si>
  <si>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</si>
  <si>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</si>
  <si>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</si>
  <si>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</si>
  <si>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</si>
  <si>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</si>
  <si>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</si>
  <si>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</si>
  <si>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</si>
  <si>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</si>
  <si>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</si>
  <si>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</si>
  <si>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</si>
  <si>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</si>
  <si>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</si>
  <si>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</si>
  <si>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</si>
  <si>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</si>
  <si>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</si>
  <si>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</si>
  <si>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</si>
  <si>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</si>
  <si>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</si>
  <si>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</si>
  <si>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</si>
  <si>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</si>
  <si>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</si>
  <si>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</si>
  <si>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</si>
  <si>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</si>
  <si>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</si>
  <si>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</si>
  <si>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</si>
  <si>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</si>
  <si>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</si>
  <si>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</si>
  <si>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</si>
  <si>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</si>
  <si>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</si>
  <si>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</si>
  <si>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</si>
  <si>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</si>
  <si>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</si>
  <si>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</si>
  <si>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</si>
  <si>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</si>
  <si>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</si>
  <si>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</si>
  <si>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</si>
  <si>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</si>
  <si>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</si>
  <si>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</si>
  <si>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</si>
  <si>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</si>
  <si>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</si>
  <si>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</si>
  <si>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</si>
  <si>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</si>
  <si>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</si>
  <si>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</si>
  <si>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</si>
  <si>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</si>
  <si>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</si>
  <si>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</si>
  <si>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</si>
  <si>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</si>
  <si>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</si>
  <si>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</si>
  <si>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</si>
  <si>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</si>
  <si>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</si>
  <si>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</si>
  <si>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</si>
  <si>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</si>
  <si>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</si>
  <si>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</si>
  <si>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</si>
  <si>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</si>
  <si>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</si>
  <si>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</si>
  <si>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</si>
  <si>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</si>
  <si>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</si>
  <si>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</si>
  <si>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</si>
  <si>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</si>
  <si>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</si>
  <si>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</si>
  <si>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</si>
  <si>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</si>
  <si>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</si>
  <si>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</si>
  <si>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</si>
  <si>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</si>
  <si>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</si>
  <si>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</si>
  <si>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</si>
  <si>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</si>
  <si>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</si>
  <si>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</si>
  <si>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</si>
  <si>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</si>
  <si>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</si>
  <si>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</si>
  <si>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</si>
  <si>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</si>
  <si>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</si>
  <si>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</si>
  <si>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</si>
  <si>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</si>
  <si>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</si>
  <si>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</si>
  <si>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</si>
  <si>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</si>
  <si>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</si>
  <si>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</si>
  <si>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</si>
  <si>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</si>
  <si>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</si>
  <si>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</si>
  <si>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</si>
  <si>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</si>
  <si>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</si>
  <si>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</si>
  <si>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</si>
  <si>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</si>
  <si>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</si>
  <si>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</si>
  <si>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</si>
  <si>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</si>
  <si>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</si>
  <si>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</si>
  <si>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</si>
  <si>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</si>
  <si>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</si>
  <si>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</si>
  <si>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</si>
  <si>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</si>
  <si>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</si>
  <si>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</si>
  <si>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</si>
  <si>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</si>
  <si>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</si>
  <si>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</si>
  <si>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</si>
  <si>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</si>
  <si>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</si>
  <si>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</si>
  <si>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</si>
  <si>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</si>
  <si>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</si>
  <si>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</si>
  <si>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</si>
  <si>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</si>
  <si>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</si>
  <si>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</si>
  <si>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</si>
  <si>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</si>
  <si>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</si>
  <si>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</si>
  <si>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</si>
  <si>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</si>
  <si>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</si>
  <si>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</si>
  <si>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</si>
  <si>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</si>
  <si>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</si>
  <si>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</si>
  <si>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</si>
  <si>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</si>
  <si>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</si>
  <si>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</si>
  <si>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</si>
  <si>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</si>
  <si>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</si>
  <si>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</si>
  <si>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</si>
  <si>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</si>
  <si>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</si>
  <si>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</si>
  <si>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</si>
  <si>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</si>
  <si>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</si>
  <si>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</si>
  <si>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</si>
  <si>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</si>
  <si>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</si>
  <si>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</si>
  <si>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</si>
  <si>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</si>
  <si>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</si>
  <si>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</si>
  <si>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</si>
  <si>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</si>
  <si>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</si>
  <si>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</si>
  <si>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</si>
  <si>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</si>
  <si>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</si>
  <si>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</si>
  <si>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</si>
  <si>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</si>
  <si>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</si>
  <si>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</si>
  <si>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</si>
  <si>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</si>
  <si>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</si>
  <si>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</si>
  <si>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</si>
  <si>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</si>
  <si>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</si>
  <si>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</si>
  <si>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</si>
  <si>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</si>
  <si>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</si>
  <si>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</si>
  <si>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</si>
  <si>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</si>
  <si>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</si>
  <si>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</si>
  <si>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</si>
  <si>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</si>
  <si>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</si>
  <si>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</si>
  <si>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</si>
  <si>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</si>
  <si>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</si>
  <si>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</si>
  <si>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</si>
  <si>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</si>
  <si>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</si>
  <si>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</si>
  <si>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</si>
  <si>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</si>
  <si>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</si>
  <si>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</si>
  <si>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</si>
  <si>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</si>
  <si>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</si>
  <si>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</si>
  <si>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</si>
  <si>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</si>
  <si>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</si>
  <si>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</si>
  <si>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</si>
  <si>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</si>
  <si>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</si>
  <si>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</si>
  <si>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</si>
  <si>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</si>
  <si>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</si>
  <si>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</si>
  <si>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</si>
  <si>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</si>
  <si>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</si>
  <si>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</si>
  <si>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</si>
  <si>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</si>
  <si>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</si>
  <si>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</si>
  <si>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</si>
  <si>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</si>
  <si>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</si>
  <si>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</si>
  <si>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</si>
  <si>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</si>
  <si>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</si>
  <si>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</si>
  <si>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</si>
  <si>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</si>
  <si>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</si>
  <si>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</si>
  <si>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</si>
  <si>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</si>
  <si>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</si>
  <si>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</si>
  <si>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</si>
  <si>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</si>
  <si>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</si>
  <si>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</si>
  <si>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</si>
  <si>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</si>
  <si>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</si>
  <si>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</si>
  <si>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</si>
  <si>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</si>
  <si>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</si>
  <si>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</si>
  <si>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</si>
  <si>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</si>
  <si>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</si>
  <si>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</si>
  <si>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</si>
  <si>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</si>
  <si>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</si>
  <si>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</si>
  <si>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</si>
  <si>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</si>
  <si>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</si>
  <si>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</si>
  <si>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</si>
  <si>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</si>
  <si>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</si>
  <si>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</si>
  <si>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</si>
  <si>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</si>
  <si>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</si>
  <si>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</si>
  <si>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</si>
  <si>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</si>
  <si>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</si>
  <si>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</si>
  <si>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</si>
  <si>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</si>
  <si>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</si>
  <si>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</si>
  <si>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</si>
  <si>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</si>
  <si>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</si>
  <si>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</si>
  <si>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</si>
  <si>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</si>
  <si>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</si>
  <si>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</si>
  <si>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</si>
  <si>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</si>
  <si>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</si>
  <si>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</si>
  <si>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</si>
  <si>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</si>
  <si>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</si>
  <si>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</si>
  <si>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</si>
  <si>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</si>
  <si>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</si>
  <si>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</si>
  <si>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</si>
  <si>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</si>
  <si>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</si>
  <si>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</si>
  <si>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</si>
  <si>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</si>
  <si>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</si>
  <si>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</si>
  <si>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</si>
  <si>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</si>
  <si>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</si>
  <si>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</si>
  <si>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</si>
  <si>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</si>
  <si>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</si>
  <si>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</si>
  <si>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</si>
  <si>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</si>
  <si>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</si>
  <si>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</si>
  <si>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</si>
  <si>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</si>
  <si>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</si>
  <si>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</si>
  <si>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</si>
  <si>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</si>
  <si>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</si>
  <si>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</si>
  <si>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</si>
  <si>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</si>
  <si>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</si>
  <si>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</si>
  <si>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</si>
  <si>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</si>
  <si>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</si>
  <si>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</si>
  <si>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</si>
  <si>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</si>
  <si>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</si>
  <si>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</si>
  <si>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</si>
  <si>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</si>
  <si>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</si>
  <si>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</si>
  <si>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</si>
  <si>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</si>
  <si>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</si>
  <si>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</si>
  <si>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</si>
  <si>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</si>
  <si>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</si>
  <si>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</si>
  <si>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</si>
  <si>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</si>
  <si>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</si>
  <si>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</si>
  <si>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</si>
  <si>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</si>
  <si>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</si>
  <si>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</si>
  <si>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</si>
  <si>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</si>
  <si>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</si>
  <si>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</si>
  <si>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</si>
  <si>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</si>
  <si>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</si>
  <si>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</si>
  <si>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</si>
  <si>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</si>
  <si>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</si>
  <si>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</si>
  <si>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</si>
  <si>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</si>
  <si>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</si>
  <si>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</si>
  <si>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</si>
  <si>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</si>
  <si>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</si>
  <si>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</si>
  <si>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</si>
  <si>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</si>
  <si>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</si>
  <si>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</si>
  <si>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</si>
  <si>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</si>
  <si>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</si>
  <si>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</si>
  <si>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</si>
  <si>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</si>
  <si>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</si>
  <si>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</si>
  <si>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</si>
  <si>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</si>
  <si>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</si>
  <si>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</si>
  <si>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</si>
  <si>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</si>
  <si>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</si>
  <si>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</si>
  <si>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</si>
  <si>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</si>
  <si>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</si>
  <si>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</si>
  <si>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</si>
  <si>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</si>
  <si>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</si>
  <si>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</si>
  <si>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</si>
  <si>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</si>
  <si>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</si>
  <si>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</si>
  <si>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</si>
  <si>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</si>
  <si>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</si>
  <si>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</si>
  <si>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</si>
  <si>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</si>
  <si>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</si>
  <si>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</si>
  <si>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</si>
  <si>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</si>
  <si>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</si>
  <si>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</si>
  <si>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</si>
  <si>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</si>
  <si>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</si>
  <si>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</si>
  <si>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</si>
  <si>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</si>
  <si>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</si>
  <si>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</si>
  <si>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</si>
  <si>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</si>
  <si>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</si>
  <si>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</si>
  <si>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</si>
  <si>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</si>
  <si>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</si>
  <si>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</si>
  <si>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</si>
  <si>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</si>
  <si>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</si>
  <si>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</si>
  <si>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</si>
  <si>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</si>
  <si>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</si>
  <si>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</si>
  <si>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</si>
  <si>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</si>
  <si>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</si>
  <si>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</si>
  <si>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</si>
  <si>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</si>
  <si>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</si>
  <si>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</si>
  <si>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</si>
  <si>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</si>
  <si>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</si>
  <si>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</si>
  <si>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</si>
  <si>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</si>
  <si>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</si>
  <si>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</si>
  <si>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</si>
  <si>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</si>
  <si>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</si>
  <si>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</si>
  <si>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</si>
  <si>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</si>
  <si>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</si>
  <si>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</si>
  <si>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</si>
  <si>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</si>
  <si>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</si>
  <si>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</si>
  <si>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</si>
  <si>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</si>
  <si>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</si>
  <si>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</si>
  <si>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</si>
  <si>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</si>
  <si>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</si>
  <si>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</si>
  <si>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</si>
  <si>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</si>
  <si>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</si>
  <si>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</si>
  <si>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</si>
  <si>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</si>
  <si>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</si>
  <si>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</si>
  <si>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</si>
  <si>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</si>
  <si>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</si>
  <si>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</si>
  <si>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</si>
  <si>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</si>
  <si>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</si>
  <si>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</si>
  <si>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</si>
  <si>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</si>
  <si>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</si>
  <si>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</si>
  <si>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</si>
  <si>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</si>
  <si>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</si>
  <si>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</si>
  <si>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</si>
  <si>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</si>
  <si>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</si>
  <si>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</si>
  <si>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</si>
  <si>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</si>
  <si>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</si>
  <si>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</si>
  <si>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</si>
  <si>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</si>
  <si>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</si>
  <si>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</si>
  <si>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</si>
  <si>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</si>
  <si>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</si>
  <si>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</si>
  <si>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</si>
  <si>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</si>
  <si>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</si>
  <si>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</si>
  <si>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</si>
  <si>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</si>
  <si>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</si>
  <si>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</si>
  <si>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</si>
  <si>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</si>
  <si>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</si>
  <si>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</si>
  <si>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</si>
  <si>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</si>
  <si>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</si>
  <si>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</si>
  <si>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</si>
  <si>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</si>
  <si>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</si>
  <si>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</si>
  <si>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</si>
  <si>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</si>
  <si>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</si>
  <si>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</si>
  <si>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</si>
  <si>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</si>
  <si>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</si>
  <si>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</si>
  <si>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</si>
  <si>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</si>
  <si>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</si>
  <si>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</si>
  <si>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</si>
  <si>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</si>
  <si>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</si>
  <si>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</si>
  <si>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</si>
  <si>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</si>
  <si>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</si>
  <si>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</si>
  <si>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</si>
  <si>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</si>
  <si>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</si>
  <si>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</si>
  <si>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</si>
  <si>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</si>
  <si>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</si>
  <si>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</si>
  <si>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</si>
  <si>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</si>
  <si>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</si>
  <si>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</si>
  <si>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</si>
  <si>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</si>
  <si>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</si>
  <si>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</si>
  <si>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</si>
  <si>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</si>
  <si>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</si>
  <si>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</si>
  <si>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</si>
  <si>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</si>
  <si>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</si>
  <si>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</si>
  <si>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</si>
  <si>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</si>
  <si>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</si>
  <si>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</si>
  <si>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</si>
  <si>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</si>
  <si>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</si>
  <si>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</si>
  <si>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</si>
  <si>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</si>
  <si>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</si>
  <si>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</si>
  <si>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</si>
  <si>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</si>
  <si>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</si>
  <si>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</si>
  <si>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</si>
  <si>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</si>
  <si>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</si>
  <si>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</si>
  <si>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</si>
  <si>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</si>
  <si>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</si>
  <si>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</si>
  <si>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</si>
  <si>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</si>
  <si>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</si>
  <si>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</si>
  <si>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</si>
  <si>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</si>
  <si>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</si>
  <si>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</si>
  <si>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</si>
  <si>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</si>
  <si>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</si>
  <si>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</si>
  <si>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</si>
  <si>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</si>
  <si>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</si>
  <si>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</si>
  <si>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</si>
  <si>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</si>
  <si>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</si>
  <si>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</si>
  <si>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</si>
  <si>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</si>
  <si>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</si>
  <si>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</si>
  <si>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</si>
  <si>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</si>
  <si>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</si>
  <si>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</si>
  <si>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</si>
  <si>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</si>
  <si>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</si>
  <si>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</si>
  <si>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</si>
  <si>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</si>
  <si>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</si>
  <si>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</si>
  <si>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</si>
  <si>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</si>
  <si>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</si>
  <si>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</si>
  <si>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</si>
  <si>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</si>
  <si>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</si>
  <si>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</si>
  <si>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</si>
  <si>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</si>
  <si>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</si>
  <si>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</si>
  <si>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</si>
  <si>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</si>
  <si>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</si>
  <si>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</si>
  <si>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</si>
  <si>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</si>
  <si>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</si>
  <si>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</si>
  <si>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</si>
  <si>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</si>
  <si>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</si>
  <si>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</si>
  <si>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</si>
  <si>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</si>
  <si>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</si>
  <si>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</si>
  <si>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</si>
  <si>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</si>
  <si>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</si>
  <si>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</si>
  <si>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</si>
  <si>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</si>
  <si>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</si>
  <si>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</si>
  <si>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</si>
  <si>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</si>
  <si>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</si>
  <si>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</si>
  <si>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</si>
  <si>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</si>
  <si>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</si>
  <si>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</si>
  <si>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</si>
  <si>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</si>
  <si>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</si>
  <si>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</si>
  <si>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</si>
  <si>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</si>
  <si>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</si>
  <si>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</si>
  <si>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</si>
  <si>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</si>
  <si>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</si>
  <si>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</si>
  <si>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</si>
  <si>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</si>
  <si>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</si>
  <si>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</si>
  <si>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</si>
  <si>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</si>
  <si>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</si>
  <si>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</si>
  <si>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</si>
  <si>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</si>
  <si>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</si>
  <si>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</si>
  <si>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</si>
  <si>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</si>
  <si>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</si>
  <si>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</si>
  <si>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</si>
  <si>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</si>
  <si>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</si>
  <si>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</si>
  <si>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</si>
  <si>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</si>
  <si>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</si>
  <si>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</si>
  <si>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</si>
  <si>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</si>
  <si>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</si>
  <si>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</si>
  <si>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</si>
  <si>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</si>
  <si>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</si>
  <si>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</si>
  <si>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</si>
  <si>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</si>
  <si>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</si>
  <si>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</si>
  <si>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</si>
  <si>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</si>
  <si>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</si>
  <si>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</si>
  <si>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</si>
  <si>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</si>
  <si>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</si>
  <si>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</si>
  <si>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</si>
  <si>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</si>
  <si>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</si>
  <si>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</si>
  <si>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</si>
  <si>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</si>
  <si>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</si>
  <si>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</si>
  <si>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</si>
  <si>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</si>
  <si>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</si>
  <si>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</si>
  <si>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</si>
  <si>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</si>
  <si>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</si>
  <si>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</si>
  <si>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</si>
  <si>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</si>
  <si>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</si>
  <si>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</si>
  <si>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</si>
  <si>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</si>
  <si>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</si>
  <si>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</si>
  <si>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</si>
  <si>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</si>
  <si>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</si>
  <si>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</si>
  <si>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</si>
  <si>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</si>
  <si>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</si>
  <si>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</si>
  <si>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</si>
  <si>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</si>
  <si>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</si>
  <si>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</si>
  <si>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</si>
  <si>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</si>
  <si>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</si>
  <si>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</si>
  <si>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</si>
  <si>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</si>
  <si>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</si>
  <si>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</si>
  <si>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</si>
  <si>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</si>
  <si>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</si>
  <si>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</si>
  <si>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</si>
  <si>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</si>
  <si>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</si>
  <si>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</si>
  <si>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</si>
  <si>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</si>
  <si>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</si>
  <si>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</si>
  <si>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</si>
  <si>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</si>
  <si>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</si>
  <si>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</si>
  <si>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</si>
  <si>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</si>
  <si>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</si>
  <si>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</si>
  <si>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</si>
  <si>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</si>
  <si>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</si>
  <si>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</si>
  <si>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</si>
  <si>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</si>
  <si>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</si>
  <si>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</si>
  <si>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</si>
  <si>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</si>
  <si>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</si>
  <si>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</si>
  <si>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</si>
  <si>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</si>
  <si>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</si>
  <si>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</si>
  <si>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</si>
  <si>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</si>
  <si>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</si>
  <si>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</si>
  <si>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</si>
  <si>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</si>
  <si>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</si>
  <si>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</si>
  <si>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</si>
  <si>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</si>
  <si>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</si>
  <si>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</si>
  <si>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</si>
  <si>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</si>
  <si>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</si>
  <si>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</si>
  <si>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</si>
  <si>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</si>
  <si>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</si>
  <si>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</si>
  <si>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</si>
  <si>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</si>
  <si>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</si>
  <si>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</si>
  <si>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</si>
  <si>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</si>
  <si>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</si>
  <si>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</si>
  <si>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</si>
  <si>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</si>
  <si>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</si>
  <si>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</si>
  <si>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</si>
  <si>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</si>
  <si>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</si>
  <si>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</si>
  <si>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</si>
  <si>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</si>
  <si>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</si>
  <si>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</si>
  <si>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</si>
  <si>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</si>
  <si>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</si>
  <si>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</si>
  <si>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</si>
  <si>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</si>
  <si>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</si>
  <si>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</si>
  <si>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</si>
  <si>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</si>
  <si>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</si>
  <si>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</si>
  <si>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</si>
  <si>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</si>
  <si>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</si>
  <si>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</si>
  <si>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</si>
  <si>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</si>
  <si>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</si>
  <si>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</si>
  <si>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</si>
  <si>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</si>
  <si>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</si>
  <si>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</si>
  <si>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</si>
  <si>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</si>
  <si>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</si>
  <si>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</si>
  <si>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</si>
  <si>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</si>
  <si>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</si>
  <si>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</si>
  <si>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</si>
  <si>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</si>
  <si>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</si>
  <si>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</si>
  <si>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</si>
  <si>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</si>
  <si>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</si>
  <si>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</si>
  <si>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</si>
  <si>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</si>
  <si>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</si>
  <si>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</si>
  <si>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</si>
  <si>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</si>
  <si>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</si>
  <si>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</si>
  <si>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</si>
  <si>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</si>
  <si>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</si>
  <si>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</si>
  <si>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</si>
  <si>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</si>
  <si>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</si>
  <si>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</si>
  <si>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</si>
  <si>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</si>
  <si>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</si>
  <si>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</si>
  <si>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</si>
  <si>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</si>
  <si>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</si>
  <si>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</si>
  <si>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</si>
  <si>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</si>
  <si>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</si>
  <si>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</si>
  <si>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</si>
  <si>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</si>
  <si>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</si>
  <si>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</si>
  <si>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</si>
  <si>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</si>
  <si>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</si>
  <si>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</si>
  <si>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</si>
  <si>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</si>
  <si>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</si>
  <si>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</si>
  <si>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</si>
  <si>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</si>
  <si>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</si>
  <si>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</si>
  <si>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</si>
  <si>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</si>
  <si>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</si>
  <si>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</si>
  <si>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</si>
  <si>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</si>
  <si>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</si>
  <si>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</si>
  <si>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</si>
  <si>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</si>
  <si>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</si>
  <si>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</si>
  <si>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</si>
  <si>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</si>
  <si>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</si>
  <si>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</si>
  <si>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</si>
  <si>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</si>
  <si>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</si>
  <si>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</si>
  <si>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</si>
  <si>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</si>
  <si>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</si>
  <si>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</si>
  <si>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</si>
  <si>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</si>
  <si>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</si>
  <si>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</si>
  <si>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</si>
  <si>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</si>
  <si>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</si>
  <si>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</si>
  <si>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</si>
  <si>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</si>
  <si>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</si>
  <si>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</si>
  <si>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</si>
  <si>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</si>
  <si>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</si>
  <si>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</si>
  <si>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</si>
  <si>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</si>
  <si>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</si>
  <si>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</si>
  <si>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</si>
  <si>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</si>
  <si>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</si>
  <si>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</si>
  <si>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</si>
  <si>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</si>
  <si>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</si>
  <si>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</si>
  <si>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</si>
  <si>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</si>
  <si>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</si>
  <si>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</si>
  <si>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</si>
  <si>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</si>
  <si>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</si>
  <si>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</si>
  <si>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</si>
  <si>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</si>
  <si>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</si>
  <si>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</si>
  <si>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</si>
  <si>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</si>
  <si>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</si>
  <si>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</si>
  <si>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</si>
  <si>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</si>
  <si>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</si>
  <si>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</si>
  <si>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</si>
  <si>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</si>
  <si>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</si>
  <si>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</si>
  <si>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</si>
  <si>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</si>
  <si>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</si>
  <si>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</si>
  <si>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</si>
  <si>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</si>
  <si>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NEW CASTLE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</si>
</sst>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103" activePane="bottomRight" state="frozen"/>
      <selection pane="topRight" activeCell="F1" sqref="F1"/>
      <selection pane="bottomLeft" activeCell="A4" sqref="A4"/>
      <selection pane="bottomRight" activeCell="A652" sqref="A65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381</v>
      </c>
      <c r="C2" s="21">
        <v>381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228765.44</v>
      </c>
      <c r="G9" s="18">
        <v>51.55</v>
      </c>
      <c r="H9" s="18"/>
      <c r="I9" s="18">
        <v>2510.71</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252875.63</v>
      </c>
      <c r="K12" s="24" t="s">
        <v>288</v>
      </c>
      <c r="L12" s="24" t="s">
        <v>288</v>
      </c>
      <c r="M12" s="8"/>
      <c r="N12" s="266"/>
    </row>
    <row r="13" spans="1:14" s="3" customFormat="1" ht="12.2" customHeight="1" x14ac:dyDescent="0.15">
      <c r="A13" s="1" t="s">
        <v>604</v>
      </c>
      <c r="B13" s="2" t="s">
        <v>289</v>
      </c>
      <c r="C13" s="6">
        <v>5</v>
      </c>
      <c r="D13" s="2" t="s">
        <v>428</v>
      </c>
      <c r="E13" s="6">
        <v>140</v>
      </c>
      <c r="F13" s="18">
        <v>9728.9500000000007</v>
      </c>
      <c r="G13" s="18">
        <v>2119.25</v>
      </c>
      <c r="H13" s="18">
        <v>500</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160.18</v>
      </c>
      <c r="G14" s="18">
        <v>215</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238654.57</v>
      </c>
      <c r="G19" s="41">
        <f>SUM(G9:G18)</f>
        <v>2385.8000000000002</v>
      </c>
      <c r="H19" s="41">
        <f>SUM(H9:H18)</f>
        <v>500</v>
      </c>
      <c r="I19" s="41">
        <f>SUM(I9:I18)</f>
        <v>2510.71</v>
      </c>
      <c r="J19" s="41">
        <f>SUM(J9:J18)</f>
        <v>252875.63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3195.8</v>
      </c>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v>500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35546.870000000003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v>2385.8000000000002</v>
      </c>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38742.670000000006</v>
      </c>
      <c r="G32" s="41">
        <f>SUM(G22:G31)</f>
        <v>2385.8000000000002</v>
      </c>
      <c r="H32" s="41">
        <f>SUM(H22:H31)</f>
        <v>500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54141</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v>2510.71</v>
      </c>
      <c r="J48" s="13">
        <f>SUM(I460)</f>
        <v>252875.63</v>
      </c>
      <c r="K48" s="24" t="s">
        <v>288</v>
      </c>
      <c r="L48" s="24" t="s">
        <v>288</v>
      </c>
      <c r="M48" s="8"/>
      <c r="N48" s="266"/>
    </row>
    <row r="49" spans="1:14" s="3" customFormat="1" ht="12.2" customHeight="1" x14ac:dyDescent="0.15">
      <c r="A49" s="1" t="s">
        <v>859</v>
      </c>
      <c r="B49" s="2" t="s">
        <v>289</v>
      </c>
      <c r="C49" s="6">
        <v>34</v>
      </c>
      <c r="D49" s="2"/>
      <c r="E49" s="6">
        <v>753</v>
      </c>
      <c r="F49" s="18">
        <v>11957.21</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133813.69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199911.9</v>
      </c>
      <c r="G51" s="41">
        <f>SUM(G35:G50)</f>
        <v>0</v>
      </c>
      <c r="H51" s="41">
        <f>SUM(H35:H50)</f>
        <v>0</v>
      </c>
      <c r="I51" s="41">
        <f>SUM(I35:I50)</f>
        <v>2510.71</v>
      </c>
      <c r="J51" s="41">
        <f>SUM(J35:J50)</f>
        <v>252875.63</v>
      </c>
      <c r="K51" s="45" t="s">
        <v>288</v>
      </c>
      <c r="L51" s="45" t="s">
        <v>288</v>
      </c>
      <c r="N51" s="264"/>
    </row>
    <row r="52" spans="1:14" s="3" customFormat="1" ht="12.2" customHeight="1" thickTop="1" x14ac:dyDescent="0.15">
      <c r="A52" s="38" t="s">
        <v>455</v>
      </c>
      <c r="B52" s="39" t="s">
        <v>289</v>
      </c>
      <c r="C52" s="6">
        <v>37</v>
      </c>
      <c r="D52" s="39" t="s">
        <v>653</v>
      </c>
      <c r="E52" s="39"/>
      <c r="F52" s="41">
        <f>F51+F32</f>
        <v>238654.57</v>
      </c>
      <c r="G52" s="41">
        <f>G51+G32</f>
        <v>2385.8000000000002</v>
      </c>
      <c r="H52" s="41">
        <f>H51+H32</f>
        <v>500</v>
      </c>
      <c r="I52" s="41">
        <f>I51+I32</f>
        <v>2510.71</v>
      </c>
      <c r="J52" s="41">
        <f>J51+J32</f>
        <v>252875.63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676045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676045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31035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31035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5555.89</v>
      </c>
      <c r="G96" s="18">
        <v>45.67</v>
      </c>
      <c r="H96" s="18"/>
      <c r="I96" s="18">
        <v>2.4300000000000002</v>
      </c>
      <c r="J96" s="18">
        <v>2478.92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11582.57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1114.27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6670.16</v>
      </c>
      <c r="G111" s="41">
        <f>SUM(G96:G110)</f>
        <v>11628.24</v>
      </c>
      <c r="H111" s="41">
        <f>SUM(H96:H110)</f>
        <v>0</v>
      </c>
      <c r="I111" s="41">
        <f>SUM(I96:I110)</f>
        <v>2.4300000000000002</v>
      </c>
      <c r="J111" s="41">
        <f>SUM(J96:J110)</f>
        <v>2478.92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713750.16</v>
      </c>
      <c r="G112" s="41">
        <f>G60+G111</f>
        <v>11628.24</v>
      </c>
      <c r="H112" s="41">
        <f>H60+H79+H94+H111</f>
        <v>0</v>
      </c>
      <c r="I112" s="41">
        <f>I60+I111</f>
        <v>2.4300000000000002</v>
      </c>
      <c r="J112" s="41">
        <f>J60+J111</f>
        <v>2478.92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1489633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1489633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220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1489853</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10400</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8524.32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18924.32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18924.32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9080.36</v>
      </c>
      <c r="H180" s="18"/>
      <c r="I180" s="18"/>
      <c r="J180" s="18">
        <v>60000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9080.36</v>
      </c>
      <c r="H184" s="41">
        <f>SUM(H180:H183)</f>
        <v>0</v>
      </c>
      <c r="I184" s="41">
        <f>SUM(I180:I183)</f>
        <v>0</v>
      </c>
      <c r="J184" s="41">
        <f>SUM(J180:J183)</f>
        <v>60000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9080.36</v>
      </c>
      <c r="H193" s="41">
        <f>+H184+SUM(H189:H192)</f>
        <v>0</v>
      </c>
      <c r="I193" s="41">
        <f>I178+I184+SUM(I189:I192)</f>
        <v>0</v>
      </c>
      <c r="J193" s="41">
        <f>J184</f>
        <v>60000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2203603.16</v>
      </c>
      <c r="G194" s="47">
        <f>G112+G140+G170+G193</f>
        <v>20708.599999999999</v>
      </c>
      <c r="H194" s="47">
        <f>H112+H140+H170+H193</f>
        <v>18924.32</v>
      </c>
      <c r="I194" s="47">
        <f>I112+I140+I170+I193</f>
        <v>2.4300000000000002</v>
      </c>
      <c r="J194" s="47">
        <f>J112+J140+J193</f>
        <v>62478.92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400517.78</v>
      </c>
      <c r="G198" s="18">
        <v>160504.66</v>
      </c>
      <c r="H198" s="18">
        <f>13.66+734807.47-266150-467417.5</f>
        <v>1253.6300000000047</v>
      </c>
      <c r="I198" s="18">
        <v>12156.82</v>
      </c>
      <c r="J198" s="18">
        <f>781.29+81.84</f>
        <v>863.13</v>
      </c>
      <c r="K198" s="18"/>
      <c r="L198" s="19">
        <f>SUM(F198:K198)</f>
        <v>575296.02</v>
      </c>
      <c r="M198" s="8"/>
      <c r="N198" s="266"/>
    </row>
    <row r="199" spans="1:14" s="3" customFormat="1" ht="12.2" customHeight="1" x14ac:dyDescent="0.15">
      <c r="A199" s="1" t="s">
        <v>439</v>
      </c>
      <c r="B199" s="2" t="s">
        <v>341</v>
      </c>
      <c r="C199" s="2" t="s">
        <v>291</v>
      </c>
      <c r="D199" s="2" t="s">
        <v>431</v>
      </c>
      <c r="E199" s="6">
        <v>1200</v>
      </c>
      <c r="F199" s="18">
        <v>32751.63</v>
      </c>
      <c r="G199" s="18">
        <v>13124.98</v>
      </c>
      <c r="H199" s="18">
        <f>7544.16+20957.75+24.5</f>
        <v>28526.41</v>
      </c>
      <c r="I199" s="18">
        <v>1288.3800000000001</v>
      </c>
      <c r="J199" s="18"/>
      <c r="K199" s="18"/>
      <c r="L199" s="19">
        <f>SUM(F199:K199)</f>
        <v>75691.400000000009</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1500</v>
      </c>
      <c r="G201" s="18">
        <v>601.11</v>
      </c>
      <c r="H201" s="18">
        <f>720+11313</f>
        <v>12033</v>
      </c>
      <c r="I201" s="18">
        <v>20.32</v>
      </c>
      <c r="J201" s="18"/>
      <c r="K201" s="18"/>
      <c r="L201" s="19">
        <f>SUM(F201:K201)</f>
        <v>14154.43</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51588.62</v>
      </c>
      <c r="G203" s="18">
        <v>20673.77</v>
      </c>
      <c r="H203" s="18">
        <f>1448+1710+950+2800+1184.75</f>
        <v>8092.75</v>
      </c>
      <c r="I203" s="18">
        <v>221.48</v>
      </c>
      <c r="J203" s="18">
        <v>1033.47</v>
      </c>
      <c r="K203" s="18"/>
      <c r="L203" s="19">
        <f t="shared" ref="L203:L209" si="0">SUM(F203:K203)</f>
        <v>81610.09</v>
      </c>
      <c r="M203" s="8"/>
      <c r="N203" s="266"/>
    </row>
    <row r="204" spans="1:14" s="3" customFormat="1" ht="12.2" customHeight="1" x14ac:dyDescent="0.15">
      <c r="A204" s="1" t="s">
        <v>443</v>
      </c>
      <c r="B204" s="2" t="s">
        <v>341</v>
      </c>
      <c r="C204" s="2" t="s">
        <v>295</v>
      </c>
      <c r="D204" s="2" t="s">
        <v>431</v>
      </c>
      <c r="E204" s="6">
        <v>2200</v>
      </c>
      <c r="F204" s="18"/>
      <c r="G204" s="18">
        <f>2931</f>
        <v>2931</v>
      </c>
      <c r="H204" s="18">
        <f>5750+350+5346.2</f>
        <v>11446.2</v>
      </c>
      <c r="I204" s="18">
        <v>300.61</v>
      </c>
      <c r="J204" s="18">
        <f>5173.09+5850</f>
        <v>11023.09</v>
      </c>
      <c r="K204" s="18"/>
      <c r="L204" s="19">
        <f t="shared" si="0"/>
        <v>25700.9</v>
      </c>
      <c r="M204" s="8"/>
      <c r="N204" s="266"/>
    </row>
    <row r="205" spans="1:14" s="3" customFormat="1" ht="12.2" customHeight="1" x14ac:dyDescent="0.15">
      <c r="A205" s="1" t="s">
        <v>444</v>
      </c>
      <c r="B205" s="2" t="s">
        <v>341</v>
      </c>
      <c r="C205" s="2" t="s">
        <v>296</v>
      </c>
      <c r="D205" s="2" t="s">
        <v>431</v>
      </c>
      <c r="E205" s="6">
        <v>2300</v>
      </c>
      <c r="F205" s="18">
        <v>5975</v>
      </c>
      <c r="G205" s="18">
        <v>2394.44</v>
      </c>
      <c r="H205" s="18">
        <f>21705+1109.3+147401+2124.92</f>
        <v>172340.22</v>
      </c>
      <c r="I205" s="18"/>
      <c r="J205" s="18"/>
      <c r="K205" s="18">
        <f>2682.93+2256.78</f>
        <v>4939.71</v>
      </c>
      <c r="L205" s="19">
        <f t="shared" si="0"/>
        <v>185649.37</v>
      </c>
      <c r="M205" s="8"/>
      <c r="N205" s="266"/>
    </row>
    <row r="206" spans="1:14" s="3" customFormat="1" ht="12.2" customHeight="1" x14ac:dyDescent="0.15">
      <c r="A206" s="1" t="s">
        <v>445</v>
      </c>
      <c r="B206" s="2" t="s">
        <v>341</v>
      </c>
      <c r="C206" s="2" t="s">
        <v>297</v>
      </c>
      <c r="D206" s="2" t="s">
        <v>431</v>
      </c>
      <c r="E206" s="6">
        <v>2400</v>
      </c>
      <c r="F206" s="18">
        <v>117662.27</v>
      </c>
      <c r="G206" s="18">
        <v>47152.32</v>
      </c>
      <c r="H206" s="18">
        <v>4933.8100000000004</v>
      </c>
      <c r="I206" s="18"/>
      <c r="J206" s="18"/>
      <c r="K206" s="18">
        <v>560</v>
      </c>
      <c r="L206" s="19">
        <f t="shared" si="0"/>
        <v>170308.4</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11737.68</v>
      </c>
      <c r="G208" s="18">
        <v>4703.79</v>
      </c>
      <c r="H208" s="18">
        <f>7200+20337.32+2862.95</f>
        <v>30400.27</v>
      </c>
      <c r="I208" s="18">
        <v>26070.06</v>
      </c>
      <c r="J208" s="18"/>
      <c r="K208" s="18"/>
      <c r="L208" s="19">
        <f t="shared" si="0"/>
        <v>72911.8</v>
      </c>
      <c r="M208" s="8"/>
      <c r="N208" s="266"/>
    </row>
    <row r="209" spans="1:14" s="3" customFormat="1" ht="12.2" customHeight="1" x14ac:dyDescent="0.15">
      <c r="A209" s="1" t="s">
        <v>448</v>
      </c>
      <c r="B209" s="2" t="s">
        <v>341</v>
      </c>
      <c r="C209" s="2" t="s">
        <v>300</v>
      </c>
      <c r="D209" s="2" t="s">
        <v>431</v>
      </c>
      <c r="E209" s="6">
        <v>2700</v>
      </c>
      <c r="F209" s="18"/>
      <c r="G209" s="18"/>
      <c r="H209" s="18">
        <v>4911.4799999999996</v>
      </c>
      <c r="I209" s="18"/>
      <c r="J209" s="18"/>
      <c r="K209" s="18"/>
      <c r="L209" s="19">
        <f t="shared" si="0"/>
        <v>4911.4799999999996</v>
      </c>
      <c r="M209" s="8"/>
      <c r="N209" s="266"/>
    </row>
    <row r="210" spans="1:14" s="3" customFormat="1" ht="12.2" customHeight="1" x14ac:dyDescent="0.15">
      <c r="A210" s="1" t="s">
        <v>449</v>
      </c>
      <c r="B210" s="2" t="s">
        <v>341</v>
      </c>
      <c r="C210" s="2" t="s">
        <v>343</v>
      </c>
      <c r="D210" s="2" t="s">
        <v>431</v>
      </c>
      <c r="E210" s="6">
        <v>2800</v>
      </c>
      <c r="F210" s="18"/>
      <c r="G210" s="18"/>
      <c r="H210" s="18">
        <v>2543.92</v>
      </c>
      <c r="I210" s="18"/>
      <c r="J210" s="18"/>
      <c r="K210" s="18"/>
      <c r="L210" s="19">
        <f>SUM(F210:K210)</f>
        <v>2543.92</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621732.9800000001</v>
      </c>
      <c r="G212" s="41">
        <f t="shared" si="1"/>
        <v>252086.07</v>
      </c>
      <c r="H212" s="41">
        <f t="shared" si="1"/>
        <v>276481.69</v>
      </c>
      <c r="I212" s="41">
        <f t="shared" si="1"/>
        <v>40057.67</v>
      </c>
      <c r="J212" s="41">
        <f t="shared" si="1"/>
        <v>12919.69</v>
      </c>
      <c r="K212" s="41">
        <f t="shared" si="1"/>
        <v>5499.71</v>
      </c>
      <c r="L212" s="41">
        <f t="shared" si="1"/>
        <v>1208777.81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266150</v>
      </c>
      <c r="I216" s="18"/>
      <c r="J216" s="18"/>
      <c r="K216" s="18"/>
      <c r="L216" s="19">
        <f>SUM(F216:K216)</f>
        <v>266150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266150</v>
      </c>
      <c r="I230" s="41">
        <f>SUM(I216:I229)</f>
        <v>0</v>
      </c>
      <c r="J230" s="41">
        <f>SUM(J216:J229)</f>
        <v>0</v>
      </c>
      <c r="K230" s="41">
        <f t="shared" si="3"/>
        <v>0</v>
      </c>
      <c r="L230" s="41">
        <f t="shared" si="3"/>
        <v>266150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467417.5+435</f>
        <v>467852.5</v>
      </c>
      <c r="I234" s="18"/>
      <c r="J234" s="18"/>
      <c r="K234" s="18"/>
      <c r="L234" s="19">
        <f>SUM(F234:K234)</f>
        <v>467852.5</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40109.81</v>
      </c>
      <c r="I245" s="18"/>
      <c r="J245" s="18"/>
      <c r="K245" s="18"/>
      <c r="L245" s="19">
        <f t="shared" si="4"/>
        <v>40109.81</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507962.31</v>
      </c>
      <c r="I248" s="41">
        <f t="shared" si="5"/>
        <v>0</v>
      </c>
      <c r="J248" s="41">
        <f t="shared" si="5"/>
        <v>0</v>
      </c>
      <c r="K248" s="41">
        <f t="shared" si="5"/>
        <v>0</v>
      </c>
      <c r="L248" s="41">
        <f t="shared" si="5"/>
        <v>507962.31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621732.9800000001</v>
      </c>
      <c r="G258" s="41">
        <f t="shared" si="8"/>
        <v>252086.07</v>
      </c>
      <c r="H258" s="41">
        <f t="shared" si="8"/>
        <v>1050594</v>
      </c>
      <c r="I258" s="41">
        <f t="shared" si="8"/>
        <v>40057.67</v>
      </c>
      <c r="J258" s="41">
        <f t="shared" si="8"/>
        <v>12919.69</v>
      </c>
      <c r="K258" s="41">
        <f t="shared" si="8"/>
        <v>5499.71</v>
      </c>
      <c r="L258" s="41">
        <f t="shared" si="8"/>
        <v>1982890.12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100000</v>
      </c>
      <c r="L261" s="19">
        <f>SUM(F261:K261)</f>
        <v>100000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16039.85</v>
      </c>
      <c r="L262" s="19">
        <f>SUM(F262:K262)</f>
        <v>16039.85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9080.36</v>
      </c>
      <c r="L264" s="19">
        <f>SUM(F264:K264)</f>
        <v>9080.36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185120.21000000002</v>
      </c>
      <c r="L271" s="41">
        <f t="shared" si="9"/>
        <v>185120.21000000002</v>
      </c>
      <c r="M271" s="8"/>
      <c r="N271" s="266"/>
    </row>
    <row r="272" spans="1:14" s="34" customFormat="1" ht="12.2" customHeight="1" thickTop="1" x14ac:dyDescent="0.2">
      <c r="A272" s="43" t="s">
        <v>464</v>
      </c>
      <c r="B272" s="40">
        <v>10</v>
      </c>
      <c r="C272" s="40">
        <v>18</v>
      </c>
      <c r="D272" s="39" t="s">
        <v>431</v>
      </c>
      <c r="E272" s="40"/>
      <c r="F272" s="42">
        <f t="shared" ref="F272:L272" si="11">F258+F271</f>
        <v>621732.9800000001</v>
      </c>
      <c r="G272" s="42">
        <f t="shared" si="11"/>
        <v>252086.07</v>
      </c>
      <c r="H272" s="42">
        <f t="shared" si="11"/>
        <v>1050594</v>
      </c>
      <c r="I272" s="42">
        <f t="shared" si="11"/>
        <v>40057.67</v>
      </c>
      <c r="J272" s="42">
        <f t="shared" si="11"/>
        <v>12919.69</v>
      </c>
      <c r="K272" s="42">
        <f t="shared" si="11"/>
        <v>190619.92</v>
      </c>
      <c r="L272" s="42">
        <f t="shared" si="11"/>
        <v>2168010.33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v>4250.34</v>
      </c>
      <c r="G278" s="18">
        <v>779.45</v>
      </c>
      <c r="H278" s="18">
        <v>3464.57</v>
      </c>
      <c r="I278" s="18">
        <v>29.96</v>
      </c>
      <c r="J278" s="18"/>
      <c r="K278" s="18"/>
      <c r="L278" s="19">
        <f>SUM(F278:K278)</f>
        <v>8524.32</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4250.34</v>
      </c>
      <c r="G291" s="42">
        <f t="shared" si="13"/>
        <v>779.45</v>
      </c>
      <c r="H291" s="42">
        <f t="shared" si="13"/>
        <v>3464.57</v>
      </c>
      <c r="I291" s="42">
        <f t="shared" si="13"/>
        <v>29.96</v>
      </c>
      <c r="J291" s="42">
        <f t="shared" si="13"/>
        <v>0</v>
      </c>
      <c r="K291" s="42">
        <f t="shared" si="13"/>
        <v>0</v>
      </c>
      <c r="L291" s="41">
        <f t="shared" si="13"/>
        <v>8524.32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v>10400</v>
      </c>
      <c r="I296" s="18"/>
      <c r="J296" s="18"/>
      <c r="K296" s="18"/>
      <c r="L296" s="19">
        <f>SUM(F296:K296)</f>
        <v>10400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10400</v>
      </c>
      <c r="I310" s="42">
        <f t="shared" si="15"/>
        <v>0</v>
      </c>
      <c r="J310" s="42">
        <f t="shared" si="15"/>
        <v>0</v>
      </c>
      <c r="K310" s="42">
        <f t="shared" si="15"/>
        <v>0</v>
      </c>
      <c r="L310" s="41">
        <f t="shared" si="15"/>
        <v>10400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4250.34</v>
      </c>
      <c r="G339" s="41">
        <f t="shared" si="20"/>
        <v>779.45</v>
      </c>
      <c r="H339" s="41">
        <f t="shared" si="20"/>
        <v>13864.57</v>
      </c>
      <c r="I339" s="41">
        <f t="shared" si="20"/>
        <v>29.96</v>
      </c>
      <c r="J339" s="41">
        <f t="shared" si="20"/>
        <v>0</v>
      </c>
      <c r="K339" s="41">
        <f t="shared" si="20"/>
        <v>0</v>
      </c>
      <c r="L339" s="41">
        <f t="shared" si="20"/>
        <v>18924.32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4250.34</v>
      </c>
      <c r="G353" s="41">
        <f>G339</f>
        <v>779.45</v>
      </c>
      <c r="H353" s="41">
        <f>H339</f>
        <v>13864.57</v>
      </c>
      <c r="I353" s="41">
        <f>I339</f>
        <v>29.96</v>
      </c>
      <c r="J353" s="41">
        <f>J339</f>
        <v>0</v>
      </c>
      <c r="K353" s="47">
        <f>K339+K352</f>
        <v>0</v>
      </c>
      <c r="L353" s="41">
        <f>L339+L352</f>
        <v>18924.32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8579.25</v>
      </c>
      <c r="G359" s="18"/>
      <c r="H359" s="18"/>
      <c r="I359" s="18">
        <v>12129.35</v>
      </c>
      <c r="J359" s="18"/>
      <c r="K359" s="18"/>
      <c r="L359" s="13">
        <f>SUM(F359:K359)</f>
        <v>20708.599999999999</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8579.25</v>
      </c>
      <c r="G363" s="47">
        <f t="shared" si="22"/>
        <v>0</v>
      </c>
      <c r="H363" s="47">
        <f t="shared" si="22"/>
        <v>0</v>
      </c>
      <c r="I363" s="47">
        <f t="shared" si="22"/>
        <v>12129.35</v>
      </c>
      <c r="J363" s="47">
        <f t="shared" si="22"/>
        <v>0</v>
      </c>
      <c r="K363" s="47">
        <f t="shared" si="22"/>
        <v>0</v>
      </c>
      <c r="L363" s="47">
        <f t="shared" si="22"/>
        <v>20708.599999999999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11705.11</v>
      </c>
      <c r="G368" s="18"/>
      <c r="H368" s="18"/>
      <c r="I368" s="56">
        <f>SUM(F368:H368)</f>
        <v>11705.11</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424.24</v>
      </c>
      <c r="G369" s="63"/>
      <c r="H369" s="63"/>
      <c r="I369" s="56">
        <f>SUM(F369:H369)</f>
        <v>424.24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12129.35</v>
      </c>
      <c r="G370" s="47">
        <f>SUM(G368:G369)</f>
        <v>0</v>
      </c>
      <c r="H370" s="47">
        <f>SUM(H368:H369)</f>
        <v>0</v>
      </c>
      <c r="I370" s="47">
        <f>SUM(I368:I369)</f>
        <v>12129.35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5000</v>
      </c>
      <c r="H397" s="18">
        <v>338.4</v>
      </c>
      <c r="I397" s="18"/>
      <c r="J397" s="24" t="s">
        <v>288</v>
      </c>
      <c r="K397" s="24" t="s">
        <v>288</v>
      </c>
      <c r="L397" s="56">
        <f t="shared" si="26"/>
        <v>5338.4</v>
      </c>
      <c r="M397" s="8"/>
      <c r="N397" s="266"/>
    </row>
    <row r="398" spans="1:14" s="3" customFormat="1" ht="12.2" customHeight="1" x14ac:dyDescent="0.15">
      <c r="A398" s="79" t="s">
        <v>515</v>
      </c>
      <c r="B398" s="2" t="s">
        <v>381</v>
      </c>
      <c r="C398" s="6">
        <v>10</v>
      </c>
      <c r="D398" s="2" t="s">
        <v>432</v>
      </c>
      <c r="E398" s="6"/>
      <c r="F398" s="18"/>
      <c r="G398" s="18"/>
      <c r="H398" s="18">
        <v>1383.42</v>
      </c>
      <c r="I398" s="18"/>
      <c r="J398" s="24" t="s">
        <v>288</v>
      </c>
      <c r="K398" s="24" t="s">
        <v>288</v>
      </c>
      <c r="L398" s="56">
        <f t="shared" si="26"/>
        <v>1383.42</v>
      </c>
      <c r="M398" s="8"/>
      <c r="N398" s="266"/>
    </row>
    <row r="399" spans="1:14" s="3" customFormat="1" ht="12.2" customHeight="1" x14ac:dyDescent="0.15">
      <c r="A399" s="79" t="s">
        <v>558</v>
      </c>
      <c r="B399" s="2" t="s">
        <v>381</v>
      </c>
      <c r="C399" s="6">
        <v>11</v>
      </c>
      <c r="D399" s="2" t="s">
        <v>432</v>
      </c>
      <c r="E399" s="6"/>
      <c r="F399" s="18"/>
      <c r="G399" s="18">
        <v>55000</v>
      </c>
      <c r="H399" s="18">
        <v>757.1</v>
      </c>
      <c r="I399" s="18"/>
      <c r="J399" s="24" t="s">
        <v>288</v>
      </c>
      <c r="K399" s="24" t="s">
        <v>288</v>
      </c>
      <c r="L399" s="56">
        <f t="shared" si="26"/>
        <v>55757.1</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60000</v>
      </c>
      <c r="H402" s="47">
        <f>SUM(H396:H401)</f>
        <v>2478.92</v>
      </c>
      <c r="I402" s="47">
        <f>SUM(I396:I401)</f>
        <v>0</v>
      </c>
      <c r="J402" s="45" t="s">
        <v>288</v>
      </c>
      <c r="K402" s="45" t="s">
        <v>288</v>
      </c>
      <c r="L402" s="47">
        <f>SUM(L396:L401)</f>
        <v>62478.92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60000</v>
      </c>
      <c r="H409" s="47">
        <f>H394+H402+H408</f>
        <v>2478.92</v>
      </c>
      <c r="I409" s="47">
        <f>I394+I402+I408</f>
        <v>0</v>
      </c>
      <c r="J409" s="24" t="s">
        <v>288</v>
      </c>
      <c r="K409" s="24" t="s">
        <v>288</v>
      </c>
      <c r="L409" s="47">
        <f>L394+L402+L408</f>
        <v>62478.92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252875.63</v>
      </c>
      <c r="H442" s="18"/>
      <c r="I442" s="56">
        <f t="shared" si="33"/>
        <v>252875.63</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252875.63</v>
      </c>
      <c r="H447" s="13">
        <f>SUM(H440:H446)</f>
        <v>0</v>
      </c>
      <c r="I447" s="13">
        <f>SUM(I440:I446)</f>
        <v>252875.63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252875.63</v>
      </c>
      <c r="H460" s="18"/>
      <c r="I460" s="56">
        <f t="shared" si="34"/>
        <v>252875.63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252875.63</v>
      </c>
      <c r="H461" s="83">
        <f>SUM(H455:H460)</f>
        <v>0</v>
      </c>
      <c r="I461" s="83">
        <f>SUM(I455:I460)</f>
        <v>252875.63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252875.63</v>
      </c>
      <c r="H462" s="42">
        <f>H453+H461</f>
        <v>0</v>
      </c>
      <c r="I462" s="42">
        <f>I453+I461</f>
        <v>252875.63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164319.07</v>
      </c>
      <c r="G466" s="18">
        <v>0</v>
      </c>
      <c r="H466" s="18">
        <v>0</v>
      </c>
      <c r="I466" s="18">
        <v>2508.2800000000002</v>
      </c>
      <c r="J466" s="18">
        <v>190396.71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2203603.16</v>
      </c>
      <c r="G469" s="18">
        <v>20708.599999999999</v>
      </c>
      <c r="H469" s="18">
        <f>10400+8524.32</f>
        <v>18924.32</v>
      </c>
      <c r="I469" s="18">
        <v>2.4300000000000002</v>
      </c>
      <c r="J469" s="18">
        <v>62478.92</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2203603.16</v>
      </c>
      <c r="G471" s="53">
        <f>SUM(G469:G470)</f>
        <v>20708.599999999999</v>
      </c>
      <c r="H471" s="53">
        <f>SUM(H469:H470)</f>
        <v>18924.32</v>
      </c>
      <c r="I471" s="53">
        <f>SUM(I469:I470)</f>
        <v>2.4300000000000002</v>
      </c>
      <c r="J471" s="53">
        <f>SUM(J469:J470)</f>
        <v>62478.92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2168010.33</v>
      </c>
      <c r="G473" s="18">
        <v>20708.599999999999</v>
      </c>
      <c r="H473" s="18">
        <v>18924.32</v>
      </c>
      <c r="I473" s="18">
        <v>0</v>
      </c>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2168010.33</v>
      </c>
      <c r="G475" s="53">
        <f>SUM(G473:G474)</f>
        <v>20708.599999999999</v>
      </c>
      <c r="H475" s="53">
        <f>SUM(H473:H474)</f>
        <v>18924.32</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199911.89999999991</v>
      </c>
      <c r="G477" s="53">
        <f>(G466+G471)- G475</f>
        <v>0</v>
      </c>
      <c r="H477" s="53">
        <f>(H466+H471)- H475</f>
        <v>0</v>
      </c>
      <c r="I477" s="53">
        <f>(I466+I471)- I475</f>
        <v>2510.71</v>
      </c>
      <c r="J477" s="53">
        <f>(J466+J471)- J475</f>
        <v>252875.63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998000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2.4700000000000002</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700000</v>
      </c>
      <c r="G496" s="18"/>
      <c r="H496" s="18"/>
      <c r="I496" s="18"/>
      <c r="J496" s="18"/>
      <c r="K496" s="53">
        <f>SUM(F496:J496)</f>
        <v>700000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100000</v>
      </c>
      <c r="G498" s="18"/>
      <c r="H498" s="18"/>
      <c r="I498" s="18"/>
      <c r="J498" s="18"/>
      <c r="K498" s="53">
        <f t="shared" si="35"/>
        <v>100000</v>
      </c>
      <c r="L498" s="24" t="s">
        <v>288</v>
      </c>
      <c r="N498" s="265"/>
    </row>
    <row r="499" spans="1:14" s="52" customFormat="1" ht="12.2" customHeight="1" x14ac:dyDescent="0.2">
      <c r="A499" s="200" t="s">
        <v>622</v>
      </c>
      <c r="B499" s="201">
        <v>20</v>
      </c>
      <c r="C499" s="202">
        <v>9</v>
      </c>
      <c r="D499" s="203" t="s">
        <v>432</v>
      </c>
      <c r="E499" s="202"/>
      <c r="F499" s="204">
        <v>600000</v>
      </c>
      <c r="G499" s="204"/>
      <c r="H499" s="204"/>
      <c r="I499" s="204"/>
      <c r="J499" s="204"/>
      <c r="K499" s="205">
        <f t="shared" si="35"/>
        <v>600000</v>
      </c>
      <c r="L499" s="206" t="s">
        <v>288</v>
      </c>
      <c r="N499" s="265"/>
    </row>
    <row r="500" spans="1:14" s="52" customFormat="1" ht="12.2" customHeight="1" thickBot="1" x14ac:dyDescent="0.25">
      <c r="A500" s="22" t="s">
        <v>623</v>
      </c>
      <c r="B500" s="75">
        <v>20</v>
      </c>
      <c r="C500" s="115">
        <v>10</v>
      </c>
      <c r="D500" s="2" t="s">
        <v>432</v>
      </c>
      <c r="E500" s="115"/>
      <c r="F500" s="18">
        <v>44504.06</v>
      </c>
      <c r="G500" s="18"/>
      <c r="H500" s="18"/>
      <c r="I500" s="18"/>
      <c r="J500" s="18"/>
      <c r="K500" s="53">
        <f t="shared" si="35"/>
        <v>44504.06</v>
      </c>
      <c r="L500" s="24" t="s">
        <v>288</v>
      </c>
      <c r="N500" s="265"/>
    </row>
    <row r="501" spans="1:14" s="52" customFormat="1" ht="12.2" customHeight="1" thickTop="1" x14ac:dyDescent="0.2">
      <c r="A501" s="139" t="s">
        <v>624</v>
      </c>
      <c r="B501" s="44">
        <v>20</v>
      </c>
      <c r="C501" s="195">
        <v>11</v>
      </c>
      <c r="D501" s="39" t="s">
        <v>432</v>
      </c>
      <c r="E501" s="195"/>
      <c r="F501" s="42">
        <f>SUM(F499:F500)</f>
        <v>644504.06000000006</v>
      </c>
      <c r="G501" s="42">
        <f>SUM(G499:G500)</f>
        <v>0</v>
      </c>
      <c r="H501" s="42">
        <f>SUM(H499:H500)</f>
        <v>0</v>
      </c>
      <c r="I501" s="42">
        <f>SUM(I499:I500)</f>
        <v>0</v>
      </c>
      <c r="J501" s="42">
        <f>SUM(J499:J500)</f>
        <v>0</v>
      </c>
      <c r="K501" s="42">
        <f t="shared" si="35"/>
        <v>644504.06000000006</v>
      </c>
      <c r="L501" s="45" t="s">
        <v>288</v>
      </c>
      <c r="N501" s="265"/>
    </row>
    <row r="502" spans="1:14" s="52" customFormat="1" ht="12.2" customHeight="1" x14ac:dyDescent="0.2">
      <c r="A502" s="200" t="s">
        <v>651</v>
      </c>
      <c r="B502" s="201">
        <v>20</v>
      </c>
      <c r="C502" s="202">
        <v>12</v>
      </c>
      <c r="D502" s="203" t="s">
        <v>432</v>
      </c>
      <c r="E502" s="202"/>
      <c r="F502" s="204">
        <v>100000</v>
      </c>
      <c r="G502" s="204"/>
      <c r="H502" s="204"/>
      <c r="I502" s="204"/>
      <c r="J502" s="204"/>
      <c r="K502" s="205">
        <f t="shared" si="35"/>
        <v>100000</v>
      </c>
      <c r="L502" s="206" t="s">
        <v>288</v>
      </c>
      <c r="N502" s="265"/>
    </row>
    <row r="503" spans="1:14" s="52" customFormat="1" ht="12.2" customHeight="1" thickBot="1" x14ac:dyDescent="0.25">
      <c r="A503" s="22" t="s">
        <v>625</v>
      </c>
      <c r="B503" s="75">
        <v>20</v>
      </c>
      <c r="C503" s="115">
        <v>13</v>
      </c>
      <c r="D503" s="2" t="s">
        <v>432</v>
      </c>
      <c r="E503" s="115"/>
      <c r="F503" s="18">
        <v>13615.4</v>
      </c>
      <c r="G503" s="18"/>
      <c r="H503" s="18"/>
      <c r="I503" s="18"/>
      <c r="J503" s="18"/>
      <c r="K503" s="53">
        <f t="shared" si="35"/>
        <v>13615.4</v>
      </c>
      <c r="L503" s="24" t="s">
        <v>288</v>
      </c>
      <c r="N503" s="265"/>
    </row>
    <row r="504" spans="1:14" s="52" customFormat="1" ht="12.2" customHeight="1" thickTop="1" x14ac:dyDescent="0.2">
      <c r="A504" s="139" t="s">
        <v>626</v>
      </c>
      <c r="B504" s="44">
        <v>20</v>
      </c>
      <c r="C504" s="195">
        <v>14</v>
      </c>
      <c r="D504" s="39" t="s">
        <v>432</v>
      </c>
      <c r="E504" s="195"/>
      <c r="F504" s="42">
        <f>SUM(F502:F503)</f>
        <v>113615.4</v>
      </c>
      <c r="G504" s="42">
        <f>SUM(G502:G503)</f>
        <v>0</v>
      </c>
      <c r="H504" s="42">
        <f>SUM(H502:H503)</f>
        <v>0</v>
      </c>
      <c r="I504" s="42">
        <f>SUM(I502:I503)</f>
        <v>0</v>
      </c>
      <c r="J504" s="42">
        <f>SUM(J502:J503)</f>
        <v>0</v>
      </c>
      <c r="K504" s="42">
        <f t="shared" si="35"/>
        <v>113615.4</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32751.63</v>
      </c>
      <c r="G522" s="18"/>
      <c r="H522" s="18">
        <f>28936.91+24.5</f>
        <v>28961.41</v>
      </c>
      <c r="I522" s="18">
        <v>1288.3800000000001</v>
      </c>
      <c r="J522" s="18"/>
      <c r="K522" s="18"/>
      <c r="L522" s="88">
        <f>SUM(F522:K522)</f>
        <v>63001.42</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32751.63</v>
      </c>
      <c r="G525" s="108">
        <f t="shared" ref="G525:L525" si="36">SUM(G522:G524)</f>
        <v>0</v>
      </c>
      <c r="H525" s="108">
        <f t="shared" si="36"/>
        <v>28961.41</v>
      </c>
      <c r="I525" s="108">
        <f t="shared" si="36"/>
        <v>1288.3800000000001</v>
      </c>
      <c r="J525" s="108">
        <f t="shared" si="36"/>
        <v>0</v>
      </c>
      <c r="K525" s="108">
        <f t="shared" si="36"/>
        <v>0</v>
      </c>
      <c r="L525" s="89">
        <f t="shared" si="36"/>
        <v>63001.42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1710+950+2800</f>
        <v>5460</v>
      </c>
      <c r="I527" s="18"/>
      <c r="J527" s="18"/>
      <c r="K527" s="18"/>
      <c r="L527" s="88">
        <f>SUM(F527:K527)</f>
        <v>5460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5460</v>
      </c>
      <c r="I530" s="89">
        <f t="shared" si="37"/>
        <v>0</v>
      </c>
      <c r="J530" s="89">
        <f t="shared" si="37"/>
        <v>0</v>
      </c>
      <c r="K530" s="89">
        <f t="shared" si="37"/>
        <v>0</v>
      </c>
      <c r="L530" s="89">
        <f t="shared" si="37"/>
        <v>5460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0</v>
      </c>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0</v>
      </c>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0</v>
      </c>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32751.63</v>
      </c>
      <c r="G546" s="89">
        <f t="shared" ref="G546:L546" si="41">G525+G530+G535+G540+G545</f>
        <v>0</v>
      </c>
      <c r="H546" s="89">
        <f t="shared" si="41"/>
        <v>34421.410000000003</v>
      </c>
      <c r="I546" s="89">
        <f t="shared" si="41"/>
        <v>1288.3800000000001</v>
      </c>
      <c r="J546" s="89">
        <f t="shared" si="41"/>
        <v>0</v>
      </c>
      <c r="K546" s="89">
        <f t="shared" si="41"/>
        <v>0</v>
      </c>
      <c r="L546" s="89">
        <f t="shared" si="41"/>
        <v>68461.42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63001.42</v>
      </c>
      <c r="G550" s="87">
        <f>L527</f>
        <v>5460</v>
      </c>
      <c r="H550" s="87">
        <f>L532</f>
        <v>0</v>
      </c>
      <c r="I550" s="87">
        <f>L537</f>
        <v>0</v>
      </c>
      <c r="J550" s="87">
        <f>L542</f>
        <v>0</v>
      </c>
      <c r="K550" s="87">
        <f>SUM(F550:J550)</f>
        <v>68461.42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63001.42</v>
      </c>
      <c r="G553" s="89">
        <f t="shared" si="42"/>
        <v>5460</v>
      </c>
      <c r="H553" s="89">
        <f t="shared" si="42"/>
        <v>0</v>
      </c>
      <c r="I553" s="89">
        <f t="shared" si="42"/>
        <v>0</v>
      </c>
      <c r="J553" s="89">
        <f t="shared" si="42"/>
        <v>0</v>
      </c>
      <c r="K553" s="89">
        <f t="shared" si="42"/>
        <v>68461.42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v>20957.75</v>
      </c>
      <c r="I563" s="18"/>
      <c r="J563" s="18"/>
      <c r="K563" s="18"/>
      <c r="L563" s="88">
        <f>SUM(F563:K563)</f>
        <v>20957.75</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20957.75</v>
      </c>
      <c r="I566" s="89">
        <f t="shared" si="44"/>
        <v>0</v>
      </c>
      <c r="J566" s="89">
        <f t="shared" si="44"/>
        <v>0</v>
      </c>
      <c r="K566" s="89">
        <f t="shared" si="44"/>
        <v>0</v>
      </c>
      <c r="L566" s="89">
        <f t="shared" si="44"/>
        <v>20957.75</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20957.75</v>
      </c>
      <c r="I572" s="89">
        <f t="shared" si="46"/>
        <v>0</v>
      </c>
      <c r="J572" s="89">
        <f t="shared" si="46"/>
        <v>0</v>
      </c>
      <c r="K572" s="89">
        <f t="shared" si="46"/>
        <v>0</v>
      </c>
      <c r="L572" s="89">
        <f t="shared" si="46"/>
        <v>20957.75</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266150</v>
      </c>
      <c r="H576" s="18">
        <v>467417.5</v>
      </c>
      <c r="I576" s="87">
        <f>SUM(F576:H576)</f>
        <v>733567.5</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0</v>
      </c>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1440</v>
      </c>
      <c r="I592" s="18"/>
      <c r="J592" s="18">
        <v>40109.81</v>
      </c>
      <c r="K592" s="104">
        <f t="shared" ref="K592:K598" si="48">SUM(H592:J592)</f>
        <v>41549.81</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3471.48</v>
      </c>
      <c r="I596" s="18"/>
      <c r="J596" s="18"/>
      <c r="K596" s="104">
        <f t="shared" si="48"/>
        <v>3471.48</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4911.4799999999996</v>
      </c>
      <c r="I599" s="108">
        <f>SUM(I592:I598)</f>
        <v>0</v>
      </c>
      <c r="J599" s="108">
        <f>SUM(J592:J598)</f>
        <v>40109.81</v>
      </c>
      <c r="K599" s="108">
        <f>SUM(K592:K598)</f>
        <v>45021.29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12919.69</v>
      </c>
      <c r="I605" s="18"/>
      <c r="J605" s="18"/>
      <c r="K605" s="104">
        <f>SUM(H605:J605)</f>
        <v>12919.69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12919.69</v>
      </c>
      <c r="I606" s="108">
        <f>SUM(I603:I605)</f>
        <v>0</v>
      </c>
      <c r="J606" s="108">
        <f>SUM(J603:J605)</f>
        <v>0</v>
      </c>
      <c r="K606" s="108">
        <f>SUM(K603:K605)</f>
        <v>12919.69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v>0</v>
      </c>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238654.57</v>
      </c>
      <c r="H618" s="109">
        <f>SUM(F52)</f>
        <v>238654.57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2385.8000000000002</v>
      </c>
      <c r="H619" s="109">
        <f>SUM(G52)</f>
        <v>2385.8000000000002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500</v>
      </c>
      <c r="H620" s="109">
        <f>SUM(H52)</f>
        <v>500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2510.71</v>
      </c>
      <c r="H621" s="109">
        <f>SUM(I52)</f>
        <v>2510.71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252875.63</v>
      </c>
      <c r="H622" s="109">
        <f>SUM(J52)</f>
        <v>252875.63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199911.9</v>
      </c>
      <c r="H623" s="109">
        <f>F477</f>
        <v>199911.89999999991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2510.71</v>
      </c>
      <c r="H626" s="109">
        <f>I477</f>
        <v>2510.71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252875.63</v>
      </c>
      <c r="H627" s="109">
        <f>J477</f>
        <v>252875.63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2203603.16</v>
      </c>
      <c r="H628" s="104">
        <f>SUM(F469)</f>
        <v>2203603.16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20708.599999999999</v>
      </c>
      <c r="H629" s="104">
        <f>SUM(G469)</f>
        <v>20708.599999999999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18924.32</v>
      </c>
      <c r="H630" s="104">
        <f>SUM(H469)</f>
        <v>18924.32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2.4300000000000002</v>
      </c>
      <c r="H631" s="104">
        <f>SUM(I469)</f>
        <v>2.4300000000000002</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62478.92</v>
      </c>
      <c r="H632" s="104">
        <f>SUM(J469)</f>
        <v>62478.92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2168010.33</v>
      </c>
      <c r="H633" s="104">
        <f>SUM(F473)</f>
        <v>2168010.33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18924.32</v>
      </c>
      <c r="H634" s="104">
        <f>SUM(H473)</f>
        <v>18924.32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12129.35</v>
      </c>
      <c r="H635" s="104">
        <f>I370</f>
        <v>12129.35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20708.599999999999</v>
      </c>
      <c r="H636" s="104">
        <f>SUM(G473)</f>
        <v>20708.599999999999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62478.92</v>
      </c>
      <c r="H638" s="164">
        <f>SUM(J469)</f>
        <v>62478.92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252875.63</v>
      </c>
      <c r="H641" s="104">
        <f>SUM(G462)</f>
        <v>252875.63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252875.63</v>
      </c>
      <c r="H643" s="104">
        <f>SUM(I462)</f>
        <v>252875.63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2478.92</v>
      </c>
      <c r="H645" s="104">
        <f>H409</f>
        <v>2478.92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62478.92</v>
      </c>
      <c r="H647" s="104">
        <f>L409</f>
        <v>62478.92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45021.29</v>
      </c>
      <c r="H648" s="104">
        <f>L209+L227+L245</f>
        <v>45021.289999999994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12919.69</v>
      </c>
      <c r="H649" s="104">
        <f>(J258+J339)-(J256+J337)</f>
        <v>12919.69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4911.4799999999996</v>
      </c>
      <c r="H650" s="104">
        <f>H599</f>
        <v>4911.4799999999996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40109.81</v>
      </c>
      <c r="H652" s="104">
        <f>J599</f>
        <v>40109.81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9080.36</v>
      </c>
      <c r="H653" s="104">
        <f>K264+K346</f>
        <v>9080.36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1238010.7300000002</v>
      </c>
      <c r="G661" s="19">
        <f>(L230+L310+L360)</f>
        <v>276550</v>
      </c>
      <c r="H661" s="19">
        <f>(L248+L329+L361)</f>
        <v>507962.31</v>
      </c>
      <c r="I661" s="19">
        <f>SUM(F661:H661)</f>
        <v>2022523.0400000003</v>
      </c>
      <c r="J661" s="13"/>
      <c r="K661" s="13"/>
      <c r="L661" s="13"/>
      <c r="M661" s="9"/>
    </row>
    <row r="662" spans="1:13" s="3" customFormat="1" ht="12.2" customHeight="1" x14ac:dyDescent="0.2">
      <c r="A662" s="1" t="s">
        <v>127</v>
      </c>
      <c r="F662" s="19">
        <f>(L359/IF(SUM(L359:L361)=0,1,SUM(L359:L361))*(SUM(G97:G110)))</f>
        <v>11582.57</v>
      </c>
      <c r="G662" s="19">
        <f>(L360/IF(SUM(L359:L361)=0,1,SUM(L359:L361))*(SUM(G97:G110)))</f>
        <v>0</v>
      </c>
      <c r="H662" s="19">
        <f>(L361/IF(SUM(L359:L361)=0,1,SUM(L359:L361))*(SUM(G97:G110)))</f>
        <v>0</v>
      </c>
      <c r="I662" s="19">
        <f>SUM(F662:H662)</f>
        <v>11582.57</v>
      </c>
      <c r="J662"/>
      <c r="K662" s="13"/>
      <c r="L662" s="13"/>
      <c r="M662" s="8"/>
    </row>
    <row r="663" spans="1:13" s="3" customFormat="1" ht="12.2" customHeight="1" x14ac:dyDescent="0.2">
      <c r="A663" s="1" t="s">
        <v>128</v>
      </c>
      <c r="F663" s="19">
        <f>(L209+L288)-(J209+J288)</f>
        <v>4911.4799999999996</v>
      </c>
      <c r="G663" s="19">
        <f>(L227+L307)-(J227+J307)</f>
        <v>0</v>
      </c>
      <c r="H663" s="19">
        <f>(L245+L326)-(J245+J326)</f>
        <v>40109.81</v>
      </c>
      <c r="I663" s="19">
        <f>SUM(F663:H663)</f>
        <v>45021.289999999994</v>
      </c>
      <c r="J663"/>
      <c r="K663" s="13"/>
      <c r="L663" s="13"/>
      <c r="M663" s="9"/>
    </row>
    <row r="664" spans="1:13" s="3" customFormat="1" ht="12.2" customHeight="1" x14ac:dyDescent="0.15">
      <c r="A664" s="198" t="s">
        <v>129</v>
      </c>
      <c r="B664" s="169"/>
      <c r="C664" s="169"/>
      <c r="D664" s="169"/>
      <c r="E664" s="169"/>
      <c r="F664" s="199">
        <f>SUM(F576:F588)+SUM(H603:H605)+SUM(L612)</f>
        <v>12919.69</v>
      </c>
      <c r="G664" s="199">
        <f>SUM(G576:G588)+SUM(I603:I605)+L613</f>
        <v>266150</v>
      </c>
      <c r="H664" s="199">
        <f>SUM(H576:H588)+SUM(J603:J605)+L614</f>
        <v>467417.5</v>
      </c>
      <c r="I664" s="19">
        <f>SUM(F664:H664)</f>
        <v>746487.19</v>
      </c>
      <c r="J664" s="13"/>
      <c r="K664" s="13"/>
      <c r="L664" s="13"/>
      <c r="M664" s="9"/>
    </row>
    <row r="665" spans="1:13" s="3" customFormat="1" ht="12.2" customHeight="1" x14ac:dyDescent="0.15">
      <c r="A665" s="1" t="s">
        <v>130</v>
      </c>
      <c r="F665" s="19">
        <f>F661-SUM(F662:F664)</f>
        <v>1208596.9900000002</v>
      </c>
      <c r="G665" s="19">
        <f>G661-SUM(G662:G664)</f>
        <v>10400</v>
      </c>
      <c r="H665" s="19">
        <f>H661-SUM(H662:H664)</f>
        <v>435</v>
      </c>
      <c r="I665" s="19">
        <f>I661-SUM(I662:I664)</f>
        <v>1219431.9900000002</v>
      </c>
      <c r="J665" s="13"/>
      <c r="K665" s="13"/>
      <c r="L665" s="13"/>
      <c r="M665" s="8"/>
    </row>
    <row r="666" spans="1:13" s="3" customFormat="1" ht="12.2" customHeight="1" x14ac:dyDescent="0.2">
      <c r="A666" s="1" t="s">
        <v>131</v>
      </c>
      <c r="F666" s="246">
        <v>40</v>
      </c>
      <c r="G666" s="247"/>
      <c r="H666" s="247"/>
      <c r="I666" s="19">
        <f>SUM(F666:H666)</f>
        <v>40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30214.92</v>
      </c>
      <c r="G668" s="19" t="e">
        <f>ROUND(G665/G666,2)</f>
        <v>#DIV/0!</v>
      </c>
      <c r="H668" s="19" t="e">
        <f>ROUND(H665/H666,2)</f>
        <v>#DIV/0!</v>
      </c>
      <c r="I668" s="19">
        <f>ROUND(I665/I666,2)</f>
        <v>30485.8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-10400</v>
      </c>
      <c r="H670" s="18">
        <v>-435</v>
      </c>
      <c r="I670" s="19">
        <f>SUM(F670:H670)</f>
        <v>-10835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30214.92</v>
      </c>
      <c r="G673" s="19" t="e">
        <f>ROUND((G665+G670)/(G666+G671),2)</f>
        <v>#DIV/0!</v>
      </c>
      <c r="H673" s="19" t="e">
        <f>ROUND((H665+H670)/(H666+H671),2)</f>
        <v>#DIV/0!</v>
      </c>
      <c r="I673" s="19">
        <f>ROUND((I665+I670)/(I666+I671),2)</f>
        <v>30214.92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NEW CASTLE SCHOOL DISTRICT</v>
      </c>
      <c r="C5" s="344"/>
      <c r="D5" s="344"/>
      <c r="E5" s="344"/>
      <c r="F5" s="344"/>
    </row>
    <row r="8" spans="1:9" ht="18" x14ac:dyDescent="0.25">
      <c r="A8" s="323" t="s">
        <v>1591</v>
      </c>
      <c r="F8" s="330" t="s">
        <v>1609</v>
      </c>
    </row>
    <row r="9" spans="1:9" ht="15" x14ac:dyDescent="0.2">
      <c r="A9" s="321" t="s">
        <v>1592</v>
      </c>
      <c r="B9" s="324">
        <f>'DOE25'!G97</f>
        <v>11582.57</v>
      </c>
      <c r="F9" s="321" t="s">
        <v>1605</v>
      </c>
    </row>
    <row r="10" spans="1:9" ht="15" x14ac:dyDescent="0.2">
      <c r="A10" s="321" t="s">
        <v>1593</v>
      </c>
      <c r="B10" s="324">
        <f>'DOE25'!G112-'DOE25'!G97</f>
        <v>45.670000000000073</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11628.24</v>
      </c>
    </row>
    <row r="16" spans="1:9" ht="18" x14ac:dyDescent="0.25">
      <c r="A16" s="323" t="s">
        <v>786</v>
      </c>
      <c r="F16" s="330" t="s">
        <v>1610</v>
      </c>
    </row>
    <row r="17" spans="1:6" ht="15" x14ac:dyDescent="0.2">
      <c r="A17" s="321" t="s">
        <v>1597</v>
      </c>
      <c r="B17" s="324">
        <f>'DOE25'!L363-'DOE25'!L362</f>
        <v>20708.599999999999</v>
      </c>
      <c r="F17" s="321" t="s">
        <v>1611</v>
      </c>
    </row>
    <row r="18" spans="1:6" ht="15" x14ac:dyDescent="0.2">
      <c r="A18" s="321" t="s">
        <v>1598</v>
      </c>
      <c r="B18" s="338"/>
      <c r="F18" s="330" t="s">
        <v>1637</v>
      </c>
    </row>
    <row r="19" spans="1:6" ht="18" x14ac:dyDescent="0.25">
      <c r="A19" s="323" t="s">
        <v>725</v>
      </c>
      <c r="B19" s="325">
        <f>SUM(B17:B18)</f>
        <v>20708.599999999999</v>
      </c>
    </row>
    <row r="21" spans="1:6" ht="18.75" thickBot="1" x14ac:dyDescent="0.3">
      <c r="A21" s="323" t="s">
        <v>1599</v>
      </c>
    </row>
    <row r="22" spans="1:6" ht="18.75" thickTop="1" x14ac:dyDescent="0.25">
      <c r="A22" s="323" t="s">
        <v>1600</v>
      </c>
      <c r="B22" s="329">
        <f>B14-B19</f>
        <v>-9080.3599999999988</v>
      </c>
      <c r="F22" s="321" t="s">
        <v>1612</v>
      </c>
    </row>
    <row r="26" spans="1:6" ht="18" x14ac:dyDescent="0.25">
      <c r="A26" s="323" t="s">
        <v>186</v>
      </c>
    </row>
    <row r="27" spans="1:6" ht="15" x14ac:dyDescent="0.2">
      <c r="A27" s="321" t="s">
        <v>1601</v>
      </c>
      <c r="B27" s="324">
        <f>'DOE25'!G180</f>
        <v>9080.36</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0</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 CASTLE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400517.78</v>
      </c>
      <c r="C9" s="229">
        <f>'DOE25'!G198+'DOE25'!G216+'DOE25'!G234+'DOE25'!G277+'DOE25'!G296+'DOE25'!G315</f>
        <v>160504.66</v>
      </c>
    </row>
    <row r="10" spans="1:3" x14ac:dyDescent="0.2">
      <c r="A10" t="s">
        <v>775</v>
      </c>
      <c r="B10" s="240">
        <v>397756.27</v>
      </c>
      <c r="C10" s="240">
        <v>159398</v>
      </c>
    </row>
    <row r="11" spans="1:3" x14ac:dyDescent="0.2">
      <c r="A11" t="s">
        <v>776</v>
      </c>
      <c r="B11" s="240"/>
      <c r="C11" s="240"/>
    </row>
    <row r="12" spans="1:3" x14ac:dyDescent="0.2">
      <c r="A12" t="s">
        <v>777</v>
      </c>
      <c r="B12" s="240">
        <v>2761.51</v>
      </c>
      <c r="C12" s="240">
        <v>1106.6600000000001</v>
      </c>
    </row>
    <row r="13" spans="1:3" x14ac:dyDescent="0.2">
      <c r="A13" t="str">
        <f>IF(B9=B13,IF(C9=C13,"Check Total OK","Check Total Error"),"Check Total Error")</f>
        <v>Check Total OK</v>
      </c>
      <c r="B13" s="231">
        <f>SUM(B10:B12)</f>
        <v>400517.78</v>
      </c>
      <c r="C13" s="231">
        <f>SUM(C10:C12)</f>
        <v>160504.66</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37001.97</v>
      </c>
      <c r="C18" s="229">
        <f>'DOE25'!G199+'DOE25'!G217+'DOE25'!G235+'DOE25'!G278+'DOE25'!G297+'DOE25'!G316</f>
        <v>13904.43</v>
      </c>
    </row>
    <row r="19" spans="1:3" x14ac:dyDescent="0.2">
      <c r="A19" t="s">
        <v>775</v>
      </c>
      <c r="B19" s="240">
        <v>37001.97</v>
      </c>
      <c r="C19" s="240">
        <v>13904.43</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37001.97</v>
      </c>
      <c r="C22" s="231">
        <f>SUM(C19:C21)</f>
        <v>13904.43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1500</v>
      </c>
      <c r="C36" s="235">
        <f>'DOE25'!G201+'DOE25'!G219+'DOE25'!G237+'DOE25'!G280+'DOE25'!G299+'DOE25'!G318</f>
        <v>601.11</v>
      </c>
    </row>
    <row r="37" spans="1:3" x14ac:dyDescent="0.2">
      <c r="A37" t="s">
        <v>775</v>
      </c>
      <c r="B37" s="240"/>
      <c r="C37" s="240"/>
    </row>
    <row r="38" spans="1:3" x14ac:dyDescent="0.2">
      <c r="A38" t="s">
        <v>776</v>
      </c>
      <c r="B38" s="240"/>
      <c r="C38" s="240"/>
    </row>
    <row r="39" spans="1:3" x14ac:dyDescent="0.2">
      <c r="A39" t="s">
        <v>777</v>
      </c>
      <c r="B39" s="240">
        <v>1500</v>
      </c>
      <c r="C39" s="240">
        <v>601.11</v>
      </c>
    </row>
    <row r="40" spans="1:3" x14ac:dyDescent="0.2">
      <c r="A40" t="str">
        <f>IF(B36=B40,IF(C36=C40,"Check Total OK","Check Total Error"),"Check Total Error")</f>
        <v>Check Total OK</v>
      </c>
      <c r="B40" s="231">
        <f>SUM(B37:B39)</f>
        <v>1500</v>
      </c>
      <c r="C40" s="231">
        <f>SUM(C37:C39)</f>
        <v>601.11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NEW CASTLE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1399144.35</v>
      </c>
      <c r="D5" s="20">
        <f>SUM('DOE25'!L198:L201)+SUM('DOE25'!L216:L219)+SUM('DOE25'!L234:L237)-F5-G5-H5</f>
        <v>1398281.2200000002</v>
      </c>
      <c r="E5" s="243"/>
      <c r="F5" s="244"/>
      <c r="G5" s="53">
        <f>SUM('DOE25'!J198:J201)+SUM('DOE25'!J216:J219)+SUM('DOE25'!J234:J237)</f>
        <v>863.13</v>
      </c>
      <c r="H5" s="53">
        <f>SUM('DOE25'!K198:K201)+SUM('DOE25'!K216:K219)+SUM('DOE25'!K234:K237)</f>
        <v>0</v>
      </c>
      <c r="I5" s="256"/>
    </row>
    <row r="6" spans="1:9" x14ac:dyDescent="0.2">
      <c r="A6" s="32">
        <v>2100</v>
      </c>
      <c r="B6" t="s">
        <v>796</v>
      </c>
      <c r="C6" s="276">
        <f t="shared" si="0"/>
        <v>81610.09</v>
      </c>
      <c r="D6" s="20">
        <f>'DOE25'!L203+'DOE25'!L221+'DOE25'!L239-F6-G6-H6</f>
        <v>80576.62</v>
      </c>
      <c r="E6" s="243"/>
      <c r="F6" s="244"/>
      <c r="G6" s="53">
        <f>'DOE25'!J203+'DOE25'!J221+'DOE25'!J239</f>
        <v>1033.47</v>
      </c>
      <c r="H6" s="53">
        <f>'DOE25'!K203+'DOE25'!K221+'DOE25'!K239</f>
        <v>0</v>
      </c>
      <c r="I6" s="256"/>
    </row>
    <row r="7" spans="1:9" x14ac:dyDescent="0.2">
      <c r="A7" s="32">
        <v>2200</v>
      </c>
      <c r="B7" t="s">
        <v>821</v>
      </c>
      <c r="C7" s="276">
        <f t="shared" si="0"/>
        <v>25700.9</v>
      </c>
      <c r="D7" s="20">
        <f>'DOE25'!L204+'DOE25'!L222+'DOE25'!L240-F7-G7-H7</f>
        <v>14677.810000000001</v>
      </c>
      <c r="E7" s="243"/>
      <c r="F7" s="244"/>
      <c r="G7" s="53">
        <f>'DOE25'!J204+'DOE25'!J222+'DOE25'!J240</f>
        <v>11023.09</v>
      </c>
      <c r="H7" s="53">
        <f>'DOE25'!K204+'DOE25'!K222+'DOE25'!K240</f>
        <v>0</v>
      </c>
      <c r="I7" s="256"/>
    </row>
    <row r="8" spans="1:9" x14ac:dyDescent="0.2">
      <c r="A8" s="32">
        <v>2300</v>
      </c>
      <c r="B8" t="s">
        <v>797</v>
      </c>
      <c r="C8" s="276">
        <f t="shared" si="0"/>
        <v>47646.55000000001</v>
      </c>
      <c r="D8" s="243"/>
      <c r="E8" s="20">
        <f>'DOE25'!L205+'DOE25'!L223+'DOE25'!L241-F8-G8-H8-D9-D11</f>
        <v>42706.840000000011</v>
      </c>
      <c r="F8" s="244"/>
      <c r="G8" s="53">
        <f>'DOE25'!J205+'DOE25'!J223+'DOE25'!J241</f>
        <v>0</v>
      </c>
      <c r="H8" s="53">
        <f>'DOE25'!K205+'DOE25'!K223+'DOE25'!K241</f>
        <v>4939.71</v>
      </c>
      <c r="I8" s="256"/>
    </row>
    <row r="9" spans="1:9" ht="14.25" x14ac:dyDescent="0.2">
      <c r="A9" s="32">
        <v>2310</v>
      </c>
      <c r="B9" s="185" t="s">
        <v>890</v>
      </c>
      <c r="C9" s="276">
        <f t="shared" si="0"/>
        <v>35853.93</v>
      </c>
      <c r="D9" s="244">
        <v>35853.93</v>
      </c>
      <c r="E9" s="243"/>
      <c r="F9" s="253"/>
      <c r="G9" s="253"/>
      <c r="H9" s="253"/>
      <c r="I9" s="256"/>
    </row>
    <row r="10" spans="1:9" ht="14.25" x14ac:dyDescent="0.2">
      <c r="A10" s="32">
        <v>2317</v>
      </c>
      <c r="B10" s="185" t="s">
        <v>891</v>
      </c>
      <c r="C10" s="276">
        <f t="shared" si="0"/>
        <v>21705</v>
      </c>
      <c r="D10" s="243"/>
      <c r="E10" s="244">
        <v>21705</v>
      </c>
      <c r="F10" s="253"/>
      <c r="G10" s="253"/>
      <c r="H10" s="253"/>
      <c r="I10" s="256"/>
    </row>
    <row r="11" spans="1:9" ht="14.25" x14ac:dyDescent="0.2">
      <c r="A11" s="32">
        <v>2321</v>
      </c>
      <c r="B11" s="185" t="s">
        <v>892</v>
      </c>
      <c r="C11" s="276">
        <f t="shared" si="0"/>
        <v>102148.89</v>
      </c>
      <c r="D11" s="244">
        <v>102148.89</v>
      </c>
      <c r="E11" s="243"/>
      <c r="F11" s="253"/>
      <c r="G11" s="253"/>
      <c r="H11" s="253"/>
      <c r="I11" s="256"/>
    </row>
    <row r="12" spans="1:9" x14ac:dyDescent="0.2">
      <c r="A12" s="32">
        <v>2400</v>
      </c>
      <c r="B12" t="s">
        <v>711</v>
      </c>
      <c r="C12" s="276">
        <f t="shared" si="0"/>
        <v>170308.4</v>
      </c>
      <c r="D12" s="20">
        <f>'DOE25'!L206+'DOE25'!L224+'DOE25'!L242-F12-G12-H12</f>
        <v>169748.4</v>
      </c>
      <c r="E12" s="243"/>
      <c r="F12" s="244"/>
      <c r="G12" s="53">
        <f>'DOE25'!J206+'DOE25'!J224+'DOE25'!J242</f>
        <v>0</v>
      </c>
      <c r="H12" s="53">
        <f>'DOE25'!K206+'DOE25'!K224+'DOE25'!K242</f>
        <v>560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72911.8</v>
      </c>
      <c r="D14" s="20">
        <f>'DOE25'!L208+'DOE25'!L226+'DOE25'!L244-F14-G14-H14</f>
        <v>72911.8</v>
      </c>
      <c r="E14" s="243"/>
      <c r="F14" s="244"/>
      <c r="G14" s="53">
        <f>'DOE25'!J208+'DOE25'!J226+'DOE25'!J244</f>
        <v>0</v>
      </c>
      <c r="H14" s="53">
        <f>'DOE25'!K208+'DOE25'!K226+'DOE25'!K244</f>
        <v>0</v>
      </c>
      <c r="I14" s="256"/>
    </row>
    <row r="15" spans="1:9" x14ac:dyDescent="0.2">
      <c r="A15" s="32">
        <v>2700</v>
      </c>
      <c r="B15" t="s">
        <v>799</v>
      </c>
      <c r="C15" s="276">
        <f t="shared" si="0"/>
        <v>45021.289999999994</v>
      </c>
      <c r="D15" s="20">
        <f>'DOE25'!L209+'DOE25'!L227+'DOE25'!L245-F15-G15-H15</f>
        <v>15639.049999999992</v>
      </c>
      <c r="E15" s="243"/>
      <c r="F15" s="244">
        <v>29382.240000000002</v>
      </c>
      <c r="G15" s="53">
        <f>'DOE25'!J209+'DOE25'!J227+'DOE25'!J245</f>
        <v>0</v>
      </c>
      <c r="H15" s="53">
        <f>'DOE25'!K209+'DOE25'!K227+'DOE25'!K245</f>
        <v>0</v>
      </c>
      <c r="I15" s="256"/>
    </row>
    <row r="16" spans="1:9" x14ac:dyDescent="0.2">
      <c r="A16" s="32">
        <v>2800</v>
      </c>
      <c r="B16" t="s">
        <v>800</v>
      </c>
      <c r="C16" s="276">
        <f t="shared" si="0"/>
        <v>2543.92</v>
      </c>
      <c r="D16" s="243"/>
      <c r="E16" s="20">
        <f>'DOE25'!L210+'DOE25'!L228+'DOE25'!L246-F16-G16-H16</f>
        <v>2543.92</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116039.85</v>
      </c>
      <c r="D25" s="243"/>
      <c r="E25" s="243"/>
      <c r="F25" s="255"/>
      <c r="G25" s="253"/>
      <c r="H25" s="253"/>
      <c r="I25" s="254">
        <f>'DOE25'!L261+'DOE25'!L262+'DOE25'!L342+'DOE25'!L343</f>
        <v>116039.85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9003.489999999998</v>
      </c>
      <c r="D29" s="284">
        <f>'DOE25'!L359+'DOE25'!L360+'DOE25'!L361-'DOE25'!I368-F29-G29-H29</f>
        <v>9003.489999999998</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18924.32</v>
      </c>
      <c r="D31" s="20">
        <f>'DOE25'!L291+'DOE25'!L310+'DOE25'!L329+'DOE25'!L334+'DOE25'!L335+'DOE25'!L336-F31-G31-H31</f>
        <v>18924.32</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1917765.5300000003</v>
      </c>
      <c r="E33" s="245">
        <f t="shared" si="1"/>
        <v>66955.760000000009</v>
      </c>
      <c r="F33" s="245">
        <f t="shared" si="1"/>
        <v>29382.240000000002</v>
      </c>
      <c r="G33" s="245">
        <f t="shared" si="1"/>
        <v>12919.69</v>
      </c>
      <c r="H33" s="245">
        <f t="shared" si="1"/>
        <v>5499.71</v>
      </c>
      <c r="I33" s="245">
        <f t="shared" si="1"/>
        <v>116039.85</v>
      </c>
    </row>
    <row r="35" spans="1:9" ht="12" thickBot="1" x14ac:dyDescent="0.25">
      <c r="B35" s="251" t="s">
        <v>831</v>
      </c>
      <c r="D35" s="252">
        <f>E33</f>
        <v>66955.760000000009</v>
      </c>
      <c r="E35" s="248"/>
    </row>
    <row r="36" spans="1:9" ht="12" thickTop="1" x14ac:dyDescent="0.2">
      <c r="B36" t="s">
        <v>810</v>
      </c>
      <c r="D36" s="20">
        <f>D33</f>
        <v>1917765.5300000003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NEW CASTLE SCHOOL DISTRICT</v>
      </c>
      <c r="B2" s="126">
        <f>'DOE25'!B2</f>
        <v>381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1217302.1300000001</v>
      </c>
      <c r="G4" s="303">
        <f>'DOE25'!L212+'DOE25'!L291</f>
        <v>1217302.1300000001</v>
      </c>
      <c r="H4" s="337">
        <f>F4-G4</f>
        <v>0</v>
      </c>
      <c r="I4" s="309" t="str">
        <f>IF(H4=0,"","Does not match DOE25 page 7 and 11 Totals!!")</f>
        <v/>
      </c>
      <c r="N4"/>
    </row>
    <row r="5" spans="1:18" x14ac:dyDescent="0.2">
      <c r="A5" s="21" t="s">
        <v>1312</v>
      </c>
      <c r="B5" s="304">
        <f>IFERROR(VLOOKUP(A5,'School Tables'!$C$3:$D$365,2,FALSE),"")</f>
        <v>22455</v>
      </c>
      <c r="C5" s="297" t="str">
        <f>IFERROR(INDEX('School Tables'!$B$3:$B$365,MATCH('School Level Expenditures'!B5,'School Tables'!$D$3:$D$365,0)),"")</f>
        <v>New Castle</v>
      </c>
      <c r="D5" s="294">
        <v>1208777.81</v>
      </c>
      <c r="E5" s="294">
        <v>8524.32</v>
      </c>
      <c r="F5" s="312">
        <f>D5+E5</f>
        <v>1217302.1300000001</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276550</v>
      </c>
      <c r="G24" s="303">
        <f>'DOE25'!L230+'DOE25'!L310</f>
        <v>276550</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266150</v>
      </c>
      <c r="E25" s="294">
        <v>10400</v>
      </c>
      <c r="F25" s="307">
        <f>D25+E25</f>
        <v>276550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507962.31</v>
      </c>
      <c r="G36" s="303">
        <f>'DOE25'!L248+'DOE25'!L329</f>
        <v>507962.31</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507962.31</v>
      </c>
      <c r="E37" s="294"/>
      <c r="F37" s="307">
        <f>D37+E37</f>
        <v>507962.31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38" activePane="bottomLeft" state="frozen"/>
      <selection activeCell="F46" sqref="F46"/>
      <selection pane="bottomLeft" activeCell="C139" sqref="C13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 CASTLE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228765.44</v>
      </c>
      <c r="D8" s="95">
        <f>'DOE25'!G9</f>
        <v>51.55</v>
      </c>
      <c r="E8" s="95">
        <f>'DOE25'!H9</f>
        <v>0</v>
      </c>
      <c r="F8" s="95">
        <f>'DOE25'!I9</f>
        <v>2510.71</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252875.63</v>
      </c>
      <c r="H11" s="124"/>
      <c r="I11" s="124"/>
    </row>
    <row r="12" spans="1:9" x14ac:dyDescent="0.2">
      <c r="A12" s="1" t="s">
        <v>143</v>
      </c>
      <c r="B12" s="6">
        <v>140</v>
      </c>
      <c r="C12" s="95">
        <f>'DOE25'!F13</f>
        <v>9728.9500000000007</v>
      </c>
      <c r="D12" s="95">
        <f>'DOE25'!G13</f>
        <v>2119.25</v>
      </c>
      <c r="E12" s="95">
        <f>'DOE25'!H13</f>
        <v>500</v>
      </c>
      <c r="F12" s="95">
        <f>'DOE25'!I13</f>
        <v>0</v>
      </c>
      <c r="G12" s="95">
        <f>'DOE25'!J13</f>
        <v>0</v>
      </c>
      <c r="H12" s="124"/>
      <c r="I12" s="124"/>
    </row>
    <row r="13" spans="1:9" x14ac:dyDescent="0.2">
      <c r="A13" s="1" t="s">
        <v>144</v>
      </c>
      <c r="B13" s="6">
        <v>150</v>
      </c>
      <c r="C13" s="95">
        <f>'DOE25'!F14</f>
        <v>160.18</v>
      </c>
      <c r="D13" s="95">
        <f>'DOE25'!G14</f>
        <v>215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238654.57</v>
      </c>
      <c r="D18" s="41">
        <f>SUM(D8:D17)</f>
        <v>2385.8000000000002</v>
      </c>
      <c r="E18" s="41">
        <f>SUM(E8:E17)</f>
        <v>500</v>
      </c>
      <c r="F18" s="41">
        <f>SUM(F8:F17)</f>
        <v>2510.71</v>
      </c>
      <c r="G18" s="41">
        <f>SUM(G8:G17)</f>
        <v>252875.63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3195.8</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500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35546.870000000003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2385.8000000000002</v>
      </c>
      <c r="E30" s="95">
        <f>'DOE25'!H31</f>
        <v>0</v>
      </c>
      <c r="F30" s="95">
        <f>'DOE25'!I31</f>
        <v>0</v>
      </c>
      <c r="G30" s="95">
        <f>'DOE25'!J31</f>
        <v>0</v>
      </c>
      <c r="H30" s="124"/>
      <c r="I30" s="124"/>
    </row>
    <row r="31" spans="1:9" ht="12" thickTop="1" x14ac:dyDescent="0.2">
      <c r="A31" s="38" t="s">
        <v>160</v>
      </c>
      <c r="B31" s="2"/>
      <c r="C31" s="41">
        <f>SUM(C21:C30)</f>
        <v>38742.670000000006</v>
      </c>
      <c r="D31" s="41">
        <f>SUM(D21:D30)</f>
        <v>2385.8000000000002</v>
      </c>
      <c r="E31" s="41">
        <f>SUM(E21:E30)</f>
        <v>500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54141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2510.71</v>
      </c>
      <c r="G47" s="95">
        <f>'DOE25'!J48</f>
        <v>252875.63</v>
      </c>
      <c r="H47" s="124"/>
      <c r="I47" s="124"/>
    </row>
    <row r="48" spans="1:9" x14ac:dyDescent="0.2">
      <c r="A48" s="1" t="s">
        <v>882</v>
      </c>
      <c r="B48" s="6">
        <v>753</v>
      </c>
      <c r="C48" s="95">
        <f>'DOE25'!F49</f>
        <v>11957.21</v>
      </c>
      <c r="D48" s="95">
        <f>'DOE25'!G49</f>
        <v>0</v>
      </c>
      <c r="E48" s="95">
        <f>'DOE25'!H49</f>
        <v>0</v>
      </c>
      <c r="F48" s="95">
        <f>'DOE25'!I49</f>
        <v>0</v>
      </c>
      <c r="G48" s="95">
        <f>'DOE25'!J49</f>
        <v>0</v>
      </c>
      <c r="H48" s="124"/>
      <c r="I48" s="124"/>
    </row>
    <row r="49" spans="1:9" ht="12" thickBot="1" x14ac:dyDescent="0.25">
      <c r="A49" s="29" t="s">
        <v>883</v>
      </c>
      <c r="B49" s="71">
        <v>770</v>
      </c>
      <c r="C49" s="95">
        <f>'DOE25'!F50</f>
        <v>133813.69</v>
      </c>
      <c r="D49" s="24" t="s">
        <v>288</v>
      </c>
      <c r="E49" s="24" t="s">
        <v>288</v>
      </c>
      <c r="F49" s="24" t="s">
        <v>288</v>
      </c>
      <c r="G49" s="24" t="s">
        <v>288</v>
      </c>
      <c r="H49" s="124"/>
      <c r="I49" s="124"/>
    </row>
    <row r="50" spans="1:9" ht="12.75" thickTop="1" thickBot="1" x14ac:dyDescent="0.25">
      <c r="A50" s="38" t="s">
        <v>884</v>
      </c>
      <c r="B50" s="48"/>
      <c r="C50" s="41">
        <f>SUM(C34:C49)</f>
        <v>199911.9</v>
      </c>
      <c r="D50" s="41">
        <f>SUM(D34:D49)</f>
        <v>0</v>
      </c>
      <c r="E50" s="41">
        <f>SUM(E34:E49)</f>
        <v>0</v>
      </c>
      <c r="F50" s="41">
        <f>SUM(F34:F49)</f>
        <v>2510.71</v>
      </c>
      <c r="G50" s="41">
        <f>SUM(G34:G49)</f>
        <v>252875.63</v>
      </c>
      <c r="H50" s="124"/>
      <c r="I50" s="124"/>
    </row>
    <row r="51" spans="1:9" ht="12" thickTop="1" x14ac:dyDescent="0.2">
      <c r="A51" s="38" t="s">
        <v>885</v>
      </c>
      <c r="B51" s="2"/>
      <c r="C51" s="41">
        <f>C50+C31</f>
        <v>238654.57</v>
      </c>
      <c r="D51" s="41">
        <f>D50+D31</f>
        <v>2385.8000000000002</v>
      </c>
      <c r="E51" s="41">
        <f>E50+E31</f>
        <v>500</v>
      </c>
      <c r="F51" s="41">
        <f>F50+F31</f>
        <v>2510.71</v>
      </c>
      <c r="G51" s="41">
        <f>G50+G31</f>
        <v>252875.63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676045</v>
      </c>
      <c r="D56" s="95">
        <f>'DOE25'!G60</f>
        <v>0</v>
      </c>
      <c r="E56" s="95">
        <f>'DOE25'!H60</f>
        <v>0</v>
      </c>
      <c r="F56" s="95">
        <f>'DOE25'!I60</f>
        <v>0</v>
      </c>
      <c r="G56" s="95">
        <f>'DOE25'!J60</f>
        <v>0</v>
      </c>
      <c r="H56"/>
      <c r="I56"/>
    </row>
    <row r="57" spans="1:9" x14ac:dyDescent="0.2">
      <c r="A57" s="1" t="s">
        <v>164</v>
      </c>
      <c r="B57" s="6" t="s">
        <v>165</v>
      </c>
      <c r="C57" s="95">
        <f>'DOE25'!F79</f>
        <v>31035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5555.89</v>
      </c>
      <c r="D59" s="95">
        <f>'DOE25'!G96</f>
        <v>45.67</v>
      </c>
      <c r="E59" s="95">
        <f>'DOE25'!H96</f>
        <v>0</v>
      </c>
      <c r="F59" s="95">
        <f>'DOE25'!I96</f>
        <v>2.4300000000000002</v>
      </c>
      <c r="G59" s="95">
        <f>'DOE25'!J96</f>
        <v>2478.92</v>
      </c>
      <c r="H59"/>
      <c r="I59"/>
    </row>
    <row r="60" spans="1:9" x14ac:dyDescent="0.2">
      <c r="A60" s="1" t="s">
        <v>170</v>
      </c>
      <c r="B60" s="118" t="s">
        <v>171</v>
      </c>
      <c r="C60" s="24" t="s">
        <v>288</v>
      </c>
      <c r="D60" s="95">
        <f>'DOE25'!G97</f>
        <v>11582.57</v>
      </c>
      <c r="E60" s="24" t="s">
        <v>288</v>
      </c>
      <c r="F60" s="24" t="s">
        <v>288</v>
      </c>
      <c r="G60" s="24" t="s">
        <v>288</v>
      </c>
      <c r="H60"/>
      <c r="I60"/>
    </row>
    <row r="61" spans="1:9" ht="12" thickBot="1" x14ac:dyDescent="0.25">
      <c r="A61" s="1" t="s">
        <v>172</v>
      </c>
      <c r="B61" s="118" t="s">
        <v>173</v>
      </c>
      <c r="C61" s="95">
        <f>SUM('DOE25'!F98:F110)</f>
        <v>1114.27</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37705.159999999996</v>
      </c>
      <c r="D62" s="130">
        <f>SUM(D57:D61)</f>
        <v>11628.24</v>
      </c>
      <c r="E62" s="130">
        <f>SUM(E57:E61)</f>
        <v>0</v>
      </c>
      <c r="F62" s="130">
        <f>SUM(F57:F61)</f>
        <v>2.4300000000000002</v>
      </c>
      <c r="G62" s="130">
        <f>SUM(G57:G61)</f>
        <v>2478.92</v>
      </c>
      <c r="H62"/>
      <c r="I62"/>
    </row>
    <row r="63" spans="1:9" ht="12" thickTop="1" x14ac:dyDescent="0.2">
      <c r="A63" s="29" t="s">
        <v>175</v>
      </c>
      <c r="B63" s="6"/>
      <c r="C63" s="22">
        <f>C56+C62</f>
        <v>713750.16</v>
      </c>
      <c r="D63" s="22">
        <f>D56+D62</f>
        <v>11628.24</v>
      </c>
      <c r="E63" s="22">
        <f>E56+E62</f>
        <v>0</v>
      </c>
      <c r="F63" s="22">
        <f>F56+F62</f>
        <v>2.4300000000000002</v>
      </c>
      <c r="G63" s="22">
        <f>G56+G62</f>
        <v>2478.92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1489633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1489633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220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220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1489853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18924.32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18924.32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9080.36</v>
      </c>
      <c r="E96" s="95">
        <f>'DOE25'!H180</f>
        <v>0</v>
      </c>
      <c r="F96" s="95">
        <f>'DOE25'!I180</f>
        <v>0</v>
      </c>
      <c r="G96" s="95">
        <f>'DOE25'!J180</f>
        <v>60000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9080.36</v>
      </c>
      <c r="E103" s="86">
        <f>SUM(E93:E102)</f>
        <v>0</v>
      </c>
      <c r="F103" s="86">
        <f>SUM(F93:F102)</f>
        <v>0</v>
      </c>
      <c r="G103" s="86">
        <f>SUM(G93:G102)</f>
        <v>60000</v>
      </c>
    </row>
    <row r="104" spans="1:7" ht="12.75" thickTop="1" thickBot="1" x14ac:dyDescent="0.25">
      <c r="A104" s="33" t="s">
        <v>761</v>
      </c>
      <c r="C104" s="86">
        <f>C63+C81+C91+C103</f>
        <v>2203603.16</v>
      </c>
      <c r="D104" s="86">
        <f>D63+D81+D91+D103</f>
        <v>20708.599999999999</v>
      </c>
      <c r="E104" s="86">
        <f>E63+E81+E91+E103</f>
        <v>18924.32</v>
      </c>
      <c r="F104" s="86">
        <f>F63+F81+F91+F103</f>
        <v>2.4300000000000002</v>
      </c>
      <c r="G104" s="86">
        <f>G63+G81+G103</f>
        <v>62478.92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1309298.52</v>
      </c>
      <c r="D109" s="24" t="s">
        <v>288</v>
      </c>
      <c r="E109" s="95">
        <f>('DOE25'!L277)+('DOE25'!L296)+('DOE25'!L315)</f>
        <v>10400</v>
      </c>
      <c r="F109" s="24" t="s">
        <v>288</v>
      </c>
      <c r="G109" s="24" t="s">
        <v>288</v>
      </c>
    </row>
    <row r="110" spans="1:7" x14ac:dyDescent="0.2">
      <c r="A110" t="s">
        <v>198</v>
      </c>
      <c r="B110" s="32" t="s">
        <v>199</v>
      </c>
      <c r="C110" s="95">
        <f>('DOE25'!L199)+('DOE25'!L217)+('DOE25'!L235)</f>
        <v>75691.400000000009</v>
      </c>
      <c r="D110" s="24" t="s">
        <v>288</v>
      </c>
      <c r="E110" s="95">
        <f>('DOE25'!L278)+('DOE25'!L297)+('DOE25'!L316)</f>
        <v>8524.32</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14154.43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1399144.3499999999</v>
      </c>
      <c r="D115" s="86">
        <f>SUM(D109:D114)</f>
        <v>0</v>
      </c>
      <c r="E115" s="86">
        <f>SUM(E109:E114)</f>
        <v>18924.32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81610.09</v>
      </c>
      <c r="D118" s="24" t="s">
        <v>288</v>
      </c>
      <c r="E118" s="95">
        <f>+('DOE25'!L282)+('DOE25'!L301)+('DOE25'!L320)</f>
        <v>0</v>
      </c>
      <c r="F118" s="24" t="s">
        <v>288</v>
      </c>
      <c r="G118" s="24" t="s">
        <v>288</v>
      </c>
    </row>
    <row r="119" spans="1:7" x14ac:dyDescent="0.2">
      <c r="A119" t="s">
        <v>208</v>
      </c>
      <c r="B119" s="32" t="s">
        <v>209</v>
      </c>
      <c r="C119" s="95">
        <f>('DOE25'!L204)+('DOE25'!L222)+('DOE25'!L240)</f>
        <v>25700.9</v>
      </c>
      <c r="D119" s="24" t="s">
        <v>288</v>
      </c>
      <c r="E119" s="95">
        <f>+('DOE25'!L283)+('DOE25'!L302)+('DOE25'!L321)</f>
        <v>0</v>
      </c>
      <c r="F119" s="24" t="s">
        <v>288</v>
      </c>
      <c r="G119" s="24" t="s">
        <v>288</v>
      </c>
    </row>
    <row r="120" spans="1:7" x14ac:dyDescent="0.2">
      <c r="A120" t="s">
        <v>210</v>
      </c>
      <c r="B120" s="32" t="s">
        <v>211</v>
      </c>
      <c r="C120" s="95">
        <f>('DOE25'!L205)+('DOE25'!L223)+('DOE25'!L241)</f>
        <v>185649.37</v>
      </c>
      <c r="D120" s="24" t="s">
        <v>288</v>
      </c>
      <c r="E120" s="95">
        <f>+('DOE25'!L284)+('DOE25'!L303)+('DOE25'!L322)</f>
        <v>0</v>
      </c>
      <c r="F120" s="24" t="s">
        <v>288</v>
      </c>
      <c r="G120" s="24" t="s">
        <v>288</v>
      </c>
    </row>
    <row r="121" spans="1:7" x14ac:dyDescent="0.2">
      <c r="A121" t="s">
        <v>212</v>
      </c>
      <c r="B121" s="32" t="s">
        <v>213</v>
      </c>
      <c r="C121" s="95">
        <f>('DOE25'!L206)+('DOE25'!L224)+('DOE25'!L242)</f>
        <v>170308.4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72911.8</v>
      </c>
      <c r="D123" s="24" t="s">
        <v>288</v>
      </c>
      <c r="E123" s="95">
        <f>+('DOE25'!L287)+('DOE25'!L306)+('DOE25'!L325)</f>
        <v>0</v>
      </c>
      <c r="F123" s="24" t="s">
        <v>288</v>
      </c>
      <c r="G123" s="24" t="s">
        <v>288</v>
      </c>
    </row>
    <row r="124" spans="1:7" x14ac:dyDescent="0.2">
      <c r="A124" t="s">
        <v>218</v>
      </c>
      <c r="B124" s="32" t="s">
        <v>219</v>
      </c>
      <c r="C124" s="95">
        <f>('DOE25'!L209)+('DOE25'!L227)+('DOE25'!L245+'DOE25'!L255)</f>
        <v>45021.289999999994</v>
      </c>
      <c r="D124" s="24" t="s">
        <v>288</v>
      </c>
      <c r="E124" s="95">
        <f>+('DOE25'!L288)+('DOE25'!L307)+('DOE25'!L326)</f>
        <v>0</v>
      </c>
      <c r="F124" s="24" t="s">
        <v>288</v>
      </c>
      <c r="G124" s="24" t="s">
        <v>288</v>
      </c>
    </row>
    <row r="125" spans="1:7" x14ac:dyDescent="0.2">
      <c r="A125" t="s">
        <v>220</v>
      </c>
      <c r="B125" s="32" t="s">
        <v>221</v>
      </c>
      <c r="C125" s="95">
        <f>('DOE25'!L210)+('DOE25'!L228)+('DOE25'!L246)</f>
        <v>2543.92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20708.599999999999</v>
      </c>
      <c r="E127" s="24" t="s">
        <v>288</v>
      </c>
      <c r="F127" s="24" t="s">
        <v>288</v>
      </c>
      <c r="G127" s="24" t="s">
        <v>288</v>
      </c>
    </row>
    <row r="128" spans="1:7" ht="12.75" thickTop="1" thickBot="1" x14ac:dyDescent="0.25">
      <c r="A128" s="33" t="s">
        <v>226</v>
      </c>
      <c r="C128" s="86">
        <f>SUM(C118:C127)</f>
        <v>583745.77000000014</v>
      </c>
      <c r="D128" s="86">
        <f>SUM(D118:D127)</f>
        <v>20708.599999999999</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100000</v>
      </c>
      <c r="D131" s="24" t="s">
        <v>288</v>
      </c>
      <c r="E131" s="129">
        <f>'DOE25'!L342</f>
        <v>0</v>
      </c>
      <c r="F131" s="24" t="s">
        <v>288</v>
      </c>
      <c r="G131" s="24" t="s">
        <v>288</v>
      </c>
    </row>
    <row r="132" spans="1:7" x14ac:dyDescent="0.2">
      <c r="A132" t="s">
        <v>230</v>
      </c>
      <c r="B132" s="32">
        <v>5120</v>
      </c>
      <c r="C132" s="95">
        <f>'DOE25'!L262</f>
        <v>16039.85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9080.36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62478.92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-2478.9199999999983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185120.21000000002</v>
      </c>
      <c r="D144" s="141">
        <f>SUM(D130:D143)</f>
        <v>0</v>
      </c>
      <c r="E144" s="141">
        <f>SUM(E130:E143)</f>
        <v>0</v>
      </c>
      <c r="F144" s="141">
        <f>SUM(F130:F143)</f>
        <v>0</v>
      </c>
      <c r="G144" s="141">
        <f>SUM(G130:G143)</f>
        <v>0</v>
      </c>
    </row>
    <row r="145" spans="1:9" ht="12.75" thickTop="1" thickBot="1" x14ac:dyDescent="0.25">
      <c r="A145" s="33" t="s">
        <v>244</v>
      </c>
      <c r="C145" s="86">
        <f>(C115+C128+C144)</f>
        <v>2168010.33</v>
      </c>
      <c r="D145" s="86">
        <f>(D115+D128+D144)</f>
        <v>20708.599999999999</v>
      </c>
      <c r="E145" s="86">
        <f>(E115+E128+E144)</f>
        <v>18924.32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998000</v>
      </c>
      <c r="C154" s="137">
        <f>'DOE25'!G494</f>
        <v>0</v>
      </c>
      <c r="D154" s="137">
        <f>'DOE25'!H494</f>
        <v>0</v>
      </c>
      <c r="E154" s="137">
        <f>'DOE25'!I494</f>
        <v>0</v>
      </c>
      <c r="F154" s="137">
        <f>'DOE25'!J494</f>
        <v>0</v>
      </c>
      <c r="G154" s="24" t="s">
        <v>288</v>
      </c>
    </row>
    <row r="155" spans="1:9" x14ac:dyDescent="0.2">
      <c r="A155" s="136" t="s">
        <v>31</v>
      </c>
      <c r="B155" s="137">
        <f>'DOE25'!F495</f>
        <v>2.4700000000000002</v>
      </c>
      <c r="C155" s="137">
        <f>'DOE25'!G495</f>
        <v>0</v>
      </c>
      <c r="D155" s="137">
        <f>'DOE25'!H495</f>
        <v>0</v>
      </c>
      <c r="E155" s="137">
        <f>'DOE25'!I495</f>
        <v>0</v>
      </c>
      <c r="F155" s="137">
        <f>'DOE25'!J495</f>
        <v>0</v>
      </c>
      <c r="G155" s="24" t="s">
        <v>288</v>
      </c>
    </row>
    <row r="156" spans="1:9" x14ac:dyDescent="0.2">
      <c r="A156" s="22" t="s">
        <v>32</v>
      </c>
      <c r="B156" s="137">
        <f>'DOE25'!F496</f>
        <v>700000</v>
      </c>
      <c r="C156" s="137">
        <f>'DOE25'!G496</f>
        <v>0</v>
      </c>
      <c r="D156" s="137">
        <f>'DOE25'!H496</f>
        <v>0</v>
      </c>
      <c r="E156" s="137">
        <f>'DOE25'!I496</f>
        <v>0</v>
      </c>
      <c r="F156" s="137">
        <f>'DOE25'!J496</f>
        <v>0</v>
      </c>
      <c r="G156" s="138">
        <f>SUM(B156:F156)</f>
        <v>700000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100000</v>
      </c>
      <c r="C158" s="137">
        <f>'DOE25'!G498</f>
        <v>0</v>
      </c>
      <c r="D158" s="137">
        <f>'DOE25'!H498</f>
        <v>0</v>
      </c>
      <c r="E158" s="137">
        <f>'DOE25'!I498</f>
        <v>0</v>
      </c>
      <c r="F158" s="137">
        <f>'DOE25'!J498</f>
        <v>0</v>
      </c>
      <c r="G158" s="138">
        <f t="shared" si="0"/>
        <v>100000</v>
      </c>
    </row>
    <row r="159" spans="1:9" x14ac:dyDescent="0.2">
      <c r="A159" s="22" t="s">
        <v>35</v>
      </c>
      <c r="B159" s="137">
        <f>'DOE25'!F499</f>
        <v>600000</v>
      </c>
      <c r="C159" s="137">
        <f>'DOE25'!G499</f>
        <v>0</v>
      </c>
      <c r="D159" s="137">
        <f>'DOE25'!H499</f>
        <v>0</v>
      </c>
      <c r="E159" s="137">
        <f>'DOE25'!I499</f>
        <v>0</v>
      </c>
      <c r="F159" s="137">
        <f>'DOE25'!J499</f>
        <v>0</v>
      </c>
      <c r="G159" s="138">
        <f t="shared" si="0"/>
        <v>600000</v>
      </c>
    </row>
    <row r="160" spans="1:9" x14ac:dyDescent="0.2">
      <c r="A160" s="22" t="s">
        <v>36</v>
      </c>
      <c r="B160" s="137">
        <f>'DOE25'!F500</f>
        <v>44504.06</v>
      </c>
      <c r="C160" s="137">
        <f>'DOE25'!G500</f>
        <v>0</v>
      </c>
      <c r="D160" s="137">
        <f>'DOE25'!H500</f>
        <v>0</v>
      </c>
      <c r="E160" s="137">
        <f>'DOE25'!I500</f>
        <v>0</v>
      </c>
      <c r="F160" s="137">
        <f>'DOE25'!J500</f>
        <v>0</v>
      </c>
      <c r="G160" s="138">
        <f t="shared" si="0"/>
        <v>44504.06</v>
      </c>
    </row>
    <row r="161" spans="1:7" x14ac:dyDescent="0.2">
      <c r="A161" s="22" t="s">
        <v>37</v>
      </c>
      <c r="B161" s="137">
        <f>'DOE25'!F501</f>
        <v>644504.06000000006</v>
      </c>
      <c r="C161" s="137">
        <f>'DOE25'!G501</f>
        <v>0</v>
      </c>
      <c r="D161" s="137">
        <f>'DOE25'!H501</f>
        <v>0</v>
      </c>
      <c r="E161" s="137">
        <f>'DOE25'!I501</f>
        <v>0</v>
      </c>
      <c r="F161" s="137">
        <f>'DOE25'!J501</f>
        <v>0</v>
      </c>
      <c r="G161" s="138">
        <f t="shared" si="0"/>
        <v>644504.06000000006</v>
      </c>
    </row>
    <row r="162" spans="1:7" x14ac:dyDescent="0.2">
      <c r="A162" s="22" t="s">
        <v>38</v>
      </c>
      <c r="B162" s="137">
        <f>'DOE25'!F502</f>
        <v>100000</v>
      </c>
      <c r="C162" s="137">
        <f>'DOE25'!G502</f>
        <v>0</v>
      </c>
      <c r="D162" s="137">
        <f>'DOE25'!H502</f>
        <v>0</v>
      </c>
      <c r="E162" s="137">
        <f>'DOE25'!I502</f>
        <v>0</v>
      </c>
      <c r="F162" s="137">
        <f>'DOE25'!J502</f>
        <v>0</v>
      </c>
      <c r="G162" s="138">
        <f t="shared" si="0"/>
        <v>100000</v>
      </c>
    </row>
    <row r="163" spans="1:7" x14ac:dyDescent="0.2">
      <c r="A163" s="22" t="s">
        <v>39</v>
      </c>
      <c r="B163" s="137">
        <f>'DOE25'!F503</f>
        <v>13615.4</v>
      </c>
      <c r="C163" s="137">
        <f>'DOE25'!G503</f>
        <v>0</v>
      </c>
      <c r="D163" s="137">
        <f>'DOE25'!H503</f>
        <v>0</v>
      </c>
      <c r="E163" s="137">
        <f>'DOE25'!I503</f>
        <v>0</v>
      </c>
      <c r="F163" s="137">
        <f>'DOE25'!J503</f>
        <v>0</v>
      </c>
      <c r="G163" s="138">
        <f t="shared" si="0"/>
        <v>13615.4</v>
      </c>
    </row>
    <row r="164" spans="1:7" x14ac:dyDescent="0.2">
      <c r="A164" s="22" t="s">
        <v>246</v>
      </c>
      <c r="B164" s="137">
        <f>'DOE25'!F504</f>
        <v>113615.4</v>
      </c>
      <c r="C164" s="137">
        <f>'DOE25'!G504</f>
        <v>0</v>
      </c>
      <c r="D164" s="137">
        <f>'DOE25'!H504</f>
        <v>0</v>
      </c>
      <c r="E164" s="137">
        <f>'DOE25'!I504</f>
        <v>0</v>
      </c>
      <c r="F164" s="137">
        <f>'DOE25'!J504</f>
        <v>0</v>
      </c>
      <c r="G164" s="138">
        <f t="shared" si="0"/>
        <v>113615.4</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31"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NEW CASTLE SCHOOL DISTRICT</v>
      </c>
    </row>
    <row r="3" spans="1:4" x14ac:dyDescent="0.2">
      <c r="B3" s="188" t="s">
        <v>1587</v>
      </c>
    </row>
    <row r="4" spans="1:4" x14ac:dyDescent="0.2">
      <c r="B4" t="s">
        <v>61</v>
      </c>
      <c r="C4" s="179">
        <f>IF('DOE25'!F666+'DOE25'!F671=0,0,ROUND('DOE25'!F673,0))</f>
        <v>30215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30215</v>
      </c>
    </row>
    <row r="9" spans="1:4" x14ac:dyDescent="0.2">
      <c r="A9" s="187" t="s">
        <v>94</v>
      </c>
      <c r="B9" s="188" t="s">
        <v>1588</v>
      </c>
      <c r="C9" s="181" t="s">
        <v>720</v>
      </c>
      <c r="D9" s="181" t="s">
        <v>721</v>
      </c>
    </row>
    <row r="10" spans="1:4" x14ac:dyDescent="0.2">
      <c r="A10">
        <v>1100</v>
      </c>
      <c r="B10" t="s">
        <v>702</v>
      </c>
      <c r="C10" s="179">
        <f>ROUND('DOE25'!L198+'DOE25'!L216+'DOE25'!L234+'DOE25'!L277+'DOE25'!L296+'DOE25'!L315,0)</f>
        <v>1319699</v>
      </c>
      <c r="D10" s="182">
        <f>ROUND((C10/$C$28)*100,1)</f>
        <v>65.099999999999994</v>
      </c>
    </row>
    <row r="11" spans="1:4" x14ac:dyDescent="0.2">
      <c r="A11">
        <v>1200</v>
      </c>
      <c r="B11" t="s">
        <v>703</v>
      </c>
      <c r="C11" s="179">
        <f>ROUND('DOE25'!L199+'DOE25'!L217+'DOE25'!L235+'DOE25'!L278+'DOE25'!L297+'DOE25'!L316,0)</f>
        <v>84216</v>
      </c>
      <c r="D11" s="182">
        <f>ROUND((C11/$C$28)*100,1)</f>
        <v>4.2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14154</v>
      </c>
      <c r="D13" s="182">
        <f>ROUND((C13/$C$28)*100,1)</f>
        <v>0.7</v>
      </c>
    </row>
    <row r="14" spans="1:4" x14ac:dyDescent="0.2">
      <c r="D14" s="182"/>
    </row>
    <row r="15" spans="1:4" x14ac:dyDescent="0.2">
      <c r="A15">
        <v>2100</v>
      </c>
      <c r="B15" t="s">
        <v>706</v>
      </c>
      <c r="C15" s="179">
        <f>ROUND('DOE25'!L203+'DOE25'!L221+'DOE25'!L239+'DOE25'!L282+'DOE25'!L301+'DOE25'!L320,0)</f>
        <v>81610</v>
      </c>
      <c r="D15" s="182">
        <f t="shared" ref="D15:D27" si="0">ROUND((C15/$C$28)*100,1)</f>
        <v>4</v>
      </c>
    </row>
    <row r="16" spans="1:4" x14ac:dyDescent="0.2">
      <c r="A16">
        <v>2200</v>
      </c>
      <c r="B16" t="s">
        <v>707</v>
      </c>
      <c r="C16" s="179">
        <f>ROUND('DOE25'!L204+'DOE25'!L222+'DOE25'!L240+'DOE25'!L283+'DOE25'!L302+'DOE25'!L321,0)</f>
        <v>25701</v>
      </c>
      <c r="D16" s="182">
        <f t="shared" si="0"/>
        <v>1.3</v>
      </c>
    </row>
    <row r="17" spans="1:4" x14ac:dyDescent="0.2">
      <c r="A17" s="183" t="s">
        <v>723</v>
      </c>
      <c r="B17" t="s">
        <v>738</v>
      </c>
      <c r="C17" s="179">
        <f>ROUND('DOE25'!L205+'DOE25'!L210+'DOE25'!L223+'DOE25'!L228+'DOE25'!L241+'DOE25'!L246+'DOE25'!L284+'DOE25'!L289+'DOE25'!L303+'DOE25'!L308+'DOE25'!L322+'DOE25'!L327,0)</f>
        <v>188193</v>
      </c>
      <c r="D17" s="182">
        <f t="shared" si="0"/>
        <v>9.3000000000000007</v>
      </c>
    </row>
    <row r="18" spans="1:4" x14ac:dyDescent="0.2">
      <c r="A18">
        <v>2400</v>
      </c>
      <c r="B18" t="s">
        <v>711</v>
      </c>
      <c r="C18" s="179">
        <f>ROUND('DOE25'!L206+'DOE25'!L224+'DOE25'!L242+'DOE25'!L285+'DOE25'!L304+'DOE25'!L323,0)</f>
        <v>170308</v>
      </c>
      <c r="D18" s="182">
        <f t="shared" si="0"/>
        <v>8.4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72912</v>
      </c>
      <c r="D20" s="182">
        <f t="shared" si="0"/>
        <v>3.6</v>
      </c>
    </row>
    <row r="21" spans="1:4" x14ac:dyDescent="0.2">
      <c r="A21">
        <v>2700</v>
      </c>
      <c r="B21" t="s">
        <v>710</v>
      </c>
      <c r="C21" s="179">
        <f>ROUND('DOE25'!L209+'DOE25'!L227+'DOE25'!L245+'DOE25'!L288+'DOE25'!L307+'DOE25'!L326,0)</f>
        <v>45021</v>
      </c>
      <c r="D21" s="182">
        <f t="shared" si="0"/>
        <v>2.2000000000000002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16040</v>
      </c>
      <c r="D25" s="182">
        <f t="shared" si="0"/>
        <v>0.8</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9126.43</v>
      </c>
      <c r="D27" s="182">
        <f t="shared" si="0"/>
        <v>0.5</v>
      </c>
    </row>
    <row r="28" spans="1:4" x14ac:dyDescent="0.2">
      <c r="B28" s="187" t="s">
        <v>719</v>
      </c>
      <c r="C28" s="180">
        <f>SUM(C10:C27)</f>
        <v>2026980.43</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2026980.43</v>
      </c>
    </row>
    <row r="31" spans="1:4" x14ac:dyDescent="0.2">
      <c r="B31" s="33"/>
      <c r="C31" s="180"/>
    </row>
    <row r="32" spans="1:4" x14ac:dyDescent="0.2">
      <c r="A32">
        <v>5100</v>
      </c>
      <c r="B32" s="33" t="s">
        <v>726</v>
      </c>
      <c r="C32" s="180">
        <f>ROUND('DOE25'!L261+'DOE25'!L342,0)</f>
        <v>100000</v>
      </c>
    </row>
    <row r="34" spans="1:4" x14ac:dyDescent="0.2">
      <c r="A34" s="187" t="s">
        <v>94</v>
      </c>
      <c r="B34" s="188" t="s">
        <v>1589</v>
      </c>
      <c r="C34" s="181" t="s">
        <v>720</v>
      </c>
      <c r="D34" s="181" t="s">
        <v>721</v>
      </c>
    </row>
    <row r="35" spans="1:4" x14ac:dyDescent="0.2">
      <c r="A35">
        <v>1100</v>
      </c>
      <c r="B35" s="185" t="s">
        <v>727</v>
      </c>
      <c r="C35" s="179">
        <f>ROUND('DOE25'!F60+'DOE25'!G60+'DOE25'!H60+'DOE25'!I60+'DOE25'!J60,0)</f>
        <v>676045</v>
      </c>
      <c r="D35" s="182">
        <f t="shared" ref="D35:D40" si="1">ROUND((C35/$C$41)*100,1)</f>
        <v>30.4</v>
      </c>
    </row>
    <row r="36" spans="1:4" x14ac:dyDescent="0.2">
      <c r="B36" s="185" t="s">
        <v>739</v>
      </c>
      <c r="C36" s="179">
        <f>SUM('DOE25'!F112:J112)-SUM('DOE25'!G97:G110)+('DOE25'!F175+'DOE25'!F176+'DOE25'!I175+'DOE25'!I176)-C35</f>
        <v>40232.180000000168</v>
      </c>
      <c r="D36" s="182">
        <f t="shared" si="1"/>
        <v>1.8</v>
      </c>
    </row>
    <row r="37" spans="1:4" x14ac:dyDescent="0.2">
      <c r="A37" s="183" t="s">
        <v>835</v>
      </c>
      <c r="B37" s="185" t="s">
        <v>728</v>
      </c>
      <c r="C37" s="179">
        <f>ROUND('DOE25'!F117+'DOE25'!F118,0)</f>
        <v>1489633</v>
      </c>
      <c r="D37" s="182">
        <f t="shared" si="1"/>
        <v>66.900000000000006</v>
      </c>
    </row>
    <row r="38" spans="1:4" x14ac:dyDescent="0.2">
      <c r="A38" s="183" t="s">
        <v>734</v>
      </c>
      <c r="B38" s="185" t="s">
        <v>729</v>
      </c>
      <c r="C38" s="179">
        <f>ROUND(SUM('DOE25'!F140:J140)-SUM('DOE25'!F117:F119),0)</f>
        <v>220</v>
      </c>
      <c r="D38" s="182">
        <f t="shared" si="1"/>
        <v>0</v>
      </c>
    </row>
    <row r="39" spans="1:4" x14ac:dyDescent="0.2">
      <c r="A39">
        <v>4000</v>
      </c>
      <c r="B39" s="185" t="s">
        <v>730</v>
      </c>
      <c r="C39" s="179">
        <f>ROUND('DOE25'!F170+'DOE25'!G170+'DOE25'!H170+'DOE25'!I170,0)</f>
        <v>18924</v>
      </c>
      <c r="D39" s="182">
        <f t="shared" si="1"/>
        <v>0.9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2225054.1800000002</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NEW CASTLE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2020-10-13T17:44:20Z</cp:lastPrinted>
  <dcterms:created xsi:type="dcterms:W3CDTF">1997-12-04T19:04:30Z</dcterms:created>
  <dcterms:modified xsi:type="dcterms:W3CDTF">2020-10-13T17:44:52Z</dcterms:modified>
</cp:coreProperties>
</file>