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78" i="1" l="1"/>
  <c r="G278" i="1"/>
  <c r="F278" i="1"/>
  <c r="H159" i="1"/>
  <c r="H527" i="1"/>
  <c r="H522" i="1"/>
  <c r="H605" i="1"/>
  <c r="H612" i="1"/>
  <c r="I277" i="1"/>
  <c r="J277" i="1"/>
  <c r="F14" i="13"/>
  <c r="F15" i="13"/>
  <c r="G206" i="1"/>
  <c r="G204" i="1"/>
  <c r="I359" i="1"/>
  <c r="H359" i="1"/>
  <c r="H217" i="1"/>
  <c r="H209" i="1"/>
  <c r="H199" i="1"/>
  <c r="H203" i="1"/>
  <c r="H204" i="1"/>
  <c r="H205" i="1"/>
  <c r="H208" i="1"/>
  <c r="H210"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C120" i="2"/>
  <c r="D39" i="13"/>
  <c r="G13" i="13"/>
  <c r="L207" i="1"/>
  <c r="L225" i="1"/>
  <c r="L243" i="1"/>
  <c r="G16" i="13"/>
  <c r="H16" i="13"/>
  <c r="L210" i="1"/>
  <c r="C125" i="2"/>
  <c r="L228" i="1"/>
  <c r="L246" i="1"/>
  <c r="G5" i="13"/>
  <c r="H5" i="13"/>
  <c r="L198" i="1"/>
  <c r="L199" i="1"/>
  <c r="L200" i="1"/>
  <c r="C12" i="10"/>
  <c r="L201" i="1"/>
  <c r="L216" i="1"/>
  <c r="L217" i="1"/>
  <c r="L218" i="1"/>
  <c r="L219" i="1"/>
  <c r="L234" i="1"/>
  <c r="L235" i="1"/>
  <c r="L236" i="1"/>
  <c r="L237" i="1"/>
  <c r="G6" i="13"/>
  <c r="H6" i="13"/>
  <c r="L203" i="1"/>
  <c r="L221" i="1"/>
  <c r="L239" i="1"/>
  <c r="G7" i="13"/>
  <c r="H7" i="13"/>
  <c r="L204" i="1"/>
  <c r="L222" i="1"/>
  <c r="L240" i="1"/>
  <c r="G12" i="13"/>
  <c r="H12" i="13"/>
  <c r="L206" i="1"/>
  <c r="L224" i="1"/>
  <c r="L242" i="1"/>
  <c r="C121" i="2"/>
  <c r="G14" i="13"/>
  <c r="H14" i="13"/>
  <c r="L208" i="1"/>
  <c r="L226" i="1"/>
  <c r="L244" i="1"/>
  <c r="G15" i="13"/>
  <c r="H15" i="13"/>
  <c r="L209" i="1"/>
  <c r="L227" i="1"/>
  <c r="G651" i="1"/>
  <c r="L245" i="1"/>
  <c r="G17" i="13"/>
  <c r="H17" i="13"/>
  <c r="L252" i="1"/>
  <c r="G18" i="13"/>
  <c r="H18" i="13"/>
  <c r="L253" i="1"/>
  <c r="D18" i="13"/>
  <c r="C18" i="13"/>
  <c r="G19" i="13"/>
  <c r="H19" i="13"/>
  <c r="L254" i="1"/>
  <c r="G29" i="13"/>
  <c r="H29" i="13"/>
  <c r="L359" i="1"/>
  <c r="L360" i="1"/>
  <c r="L361" i="1"/>
  <c r="G662" i="1"/>
  <c r="I368" i="1"/>
  <c r="J291" i="1"/>
  <c r="J310" i="1"/>
  <c r="J329" i="1"/>
  <c r="K291" i="1"/>
  <c r="K310" i="1"/>
  <c r="K329" i="1"/>
  <c r="L277" i="1"/>
  <c r="L278" i="1"/>
  <c r="L279" i="1"/>
  <c r="L280" i="1"/>
  <c r="L282" i="1"/>
  <c r="L283" i="1"/>
  <c r="L284" i="1"/>
  <c r="L285" i="1"/>
  <c r="L286" i="1"/>
  <c r="L287" i="1"/>
  <c r="L288" i="1"/>
  <c r="E124" i="2"/>
  <c r="L289" i="1"/>
  <c r="L296" i="1"/>
  <c r="L297" i="1"/>
  <c r="L298" i="1"/>
  <c r="L299" i="1"/>
  <c r="L301" i="1"/>
  <c r="L302" i="1"/>
  <c r="L303" i="1"/>
  <c r="L304" i="1"/>
  <c r="L305" i="1"/>
  <c r="L306" i="1"/>
  <c r="L307" i="1"/>
  <c r="L308" i="1"/>
  <c r="L315" i="1"/>
  <c r="L316" i="1"/>
  <c r="L317" i="1"/>
  <c r="L318" i="1"/>
  <c r="L320" i="1"/>
  <c r="L321" i="1"/>
  <c r="L322" i="1"/>
  <c r="L323" i="1"/>
  <c r="L324" i="1"/>
  <c r="L325" i="1"/>
  <c r="L326" i="1"/>
  <c r="H663" i="1"/>
  <c r="L327" i="1"/>
  <c r="L334" i="1"/>
  <c r="L335" i="1"/>
  <c r="L336" i="1"/>
  <c r="L261" i="1"/>
  <c r="L262" i="1"/>
  <c r="C132" i="2"/>
  <c r="L342" i="1"/>
  <c r="L343" i="1"/>
  <c r="L256" i="1"/>
  <c r="L337" i="1"/>
  <c r="E130" i="2"/>
  <c r="C11" i="13"/>
  <c r="C10" i="13"/>
  <c r="C9" i="13"/>
  <c r="L362" i="1"/>
  <c r="B4" i="12"/>
  <c r="B36" i="12"/>
  <c r="C36" i="12"/>
  <c r="B40" i="12"/>
  <c r="C40" i="12"/>
  <c r="B27" i="12"/>
  <c r="C27" i="12"/>
  <c r="B31" i="12"/>
  <c r="A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2" i="2"/>
  <c r="G61" i="2"/>
  <c r="F2" i="11"/>
  <c r="L614" i="1"/>
  <c r="H664" i="1"/>
  <c r="L613" i="1"/>
  <c r="G664" i="1"/>
  <c r="L612" i="1"/>
  <c r="F664" i="1"/>
  <c r="C40" i="10"/>
  <c r="F60" i="1"/>
  <c r="G60" i="1"/>
  <c r="D56" i="2"/>
  <c r="H60" i="1"/>
  <c r="I60" i="1"/>
  <c r="F56" i="2"/>
  <c r="F79" i="1"/>
  <c r="C57" i="2"/>
  <c r="F94" i="1"/>
  <c r="F111" i="1"/>
  <c r="G111" i="1"/>
  <c r="H79" i="1"/>
  <c r="H94" i="1"/>
  <c r="E58" i="2"/>
  <c r="H111" i="1"/>
  <c r="I111" i="1"/>
  <c r="I112" i="1"/>
  <c r="J111" i="1"/>
  <c r="J112" i="1"/>
  <c r="F121" i="1"/>
  <c r="F136" i="1"/>
  <c r="G121" i="1"/>
  <c r="G136" i="1"/>
  <c r="H121" i="1"/>
  <c r="H136" i="1"/>
  <c r="I121" i="1"/>
  <c r="I136" i="1"/>
  <c r="J121" i="1"/>
  <c r="J136" i="1"/>
  <c r="F147" i="1"/>
  <c r="F170" i="1"/>
  <c r="G147" i="1"/>
  <c r="H147" i="1"/>
  <c r="H170" i="1"/>
  <c r="I147" i="1"/>
  <c r="L251" i="1"/>
  <c r="C113" i="2"/>
  <c r="L333" i="1"/>
  <c r="E113" i="2"/>
  <c r="L255" i="1"/>
  <c r="L269" i="1"/>
  <c r="L270" i="1"/>
  <c r="L350" i="1"/>
  <c r="E142" i="2"/>
  <c r="L351" i="1"/>
  <c r="E143" i="2"/>
  <c r="I666" i="1"/>
  <c r="I671" i="1"/>
  <c r="G663" i="1"/>
  <c r="I670" i="1"/>
  <c r="C42" i="10"/>
  <c r="C3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E56" i="2"/>
  <c r="C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19" i="2"/>
  <c r="E120" i="2"/>
  <c r="E121" i="2"/>
  <c r="E123" i="2"/>
  <c r="E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I51" i="1"/>
  <c r="F178" i="1"/>
  <c r="I178" i="1"/>
  <c r="F184" i="1"/>
  <c r="G184" i="1"/>
  <c r="H184" i="1"/>
  <c r="H193"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58" i="1"/>
  <c r="F291" i="1"/>
  <c r="G291" i="1"/>
  <c r="G339" i="1"/>
  <c r="G353" i="1"/>
  <c r="H291" i="1"/>
  <c r="I291" i="1"/>
  <c r="F310" i="1"/>
  <c r="G310" i="1"/>
  <c r="H310" i="1"/>
  <c r="I310" i="1"/>
  <c r="F329" i="1"/>
  <c r="G329" i="1"/>
  <c r="H329" i="1"/>
  <c r="I329" i="1"/>
  <c r="F338" i="1"/>
  <c r="G338" i="1"/>
  <c r="H338" i="1"/>
  <c r="I338" i="1"/>
  <c r="J338" i="1"/>
  <c r="K338" i="1"/>
  <c r="K339" i="1"/>
  <c r="F363" i="1"/>
  <c r="G363" i="1"/>
  <c r="H363" i="1"/>
  <c r="I363" i="1"/>
  <c r="J363" i="1"/>
  <c r="K363" i="1"/>
  <c r="I369" i="1"/>
  <c r="I370" i="1"/>
  <c r="H635" i="1"/>
  <c r="F370" i="1"/>
  <c r="G370" i="1"/>
  <c r="H370" i="1"/>
  <c r="L382" i="1"/>
  <c r="F383" i="1"/>
  <c r="G383" i="1"/>
  <c r="H383" i="1"/>
  <c r="I383" i="1"/>
  <c r="J383" i="1"/>
  <c r="K383" i="1"/>
  <c r="F394" i="1"/>
  <c r="G394" i="1"/>
  <c r="H394" i="1"/>
  <c r="I394" i="1"/>
  <c r="I409" i="1"/>
  <c r="F402" i="1"/>
  <c r="G402" i="1"/>
  <c r="H402" i="1"/>
  <c r="H409" i="1"/>
  <c r="H645" i="1"/>
  <c r="I402" i="1"/>
  <c r="F408" i="1"/>
  <c r="G408" i="1"/>
  <c r="G409" i="1"/>
  <c r="H646" i="1"/>
  <c r="H408" i="1"/>
  <c r="I408" i="1"/>
  <c r="F409" i="1"/>
  <c r="H644"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G641" i="1"/>
  <c r="H447" i="1"/>
  <c r="G642" i="1"/>
  <c r="F453" i="1"/>
  <c r="G453" i="1"/>
  <c r="H453" i="1"/>
  <c r="H462" i="1"/>
  <c r="H642"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4" i="1"/>
  <c r="G645" i="1"/>
  <c r="G646" i="1"/>
  <c r="G652" i="1"/>
  <c r="G653" i="1"/>
  <c r="H653" i="1"/>
  <c r="G654" i="1"/>
  <c r="H654" i="1"/>
  <c r="G655" i="1"/>
  <c r="H655" i="1"/>
  <c r="H656" i="1"/>
  <c r="J656" i="1"/>
  <c r="J258" i="1"/>
  <c r="I170" i="1"/>
  <c r="J140" i="1"/>
  <c r="H140" i="1"/>
  <c r="J652" i="1"/>
  <c r="G477" i="1"/>
  <c r="B33" i="16"/>
  <c r="C11" i="10"/>
  <c r="E110" i="2"/>
  <c r="A40" i="12"/>
  <c r="L257" i="1"/>
  <c r="C13" i="10"/>
  <c r="C110" i="2"/>
  <c r="C20" i="10"/>
  <c r="C112" i="2"/>
  <c r="E114" i="2"/>
  <c r="D15" i="13"/>
  <c r="C15" i="13"/>
  <c r="D6" i="13"/>
  <c r="C6" i="13"/>
  <c r="E13" i="13"/>
  <c r="C13" i="13"/>
  <c r="H477" i="1"/>
  <c r="H625" i="1"/>
  <c r="J625" i="1"/>
  <c r="K353" i="1"/>
  <c r="C85" i="2"/>
  <c r="C91" i="2"/>
  <c r="D50" i="2"/>
  <c r="G553" i="1"/>
  <c r="H112" i="1"/>
  <c r="H194" i="1"/>
  <c r="G630" i="1"/>
  <c r="J630" i="1"/>
  <c r="L402" i="1"/>
  <c r="C139" i="2"/>
  <c r="F339" i="1"/>
  <c r="F353" i="1"/>
  <c r="J642" i="1"/>
  <c r="L561" i="1"/>
  <c r="G462" i="1"/>
  <c r="H641" i="1"/>
  <c r="E103" i="2"/>
  <c r="D18" i="2"/>
  <c r="H553" i="1"/>
  <c r="L310" i="1"/>
  <c r="I546" i="1"/>
  <c r="F462" i="1"/>
  <c r="H640" i="1"/>
  <c r="J640" i="1"/>
  <c r="K606" i="1"/>
  <c r="G649" i="1"/>
  <c r="H258" i="1"/>
  <c r="H272" i="1"/>
  <c r="I52" i="1"/>
  <c r="H621" i="1"/>
  <c r="D31" i="2"/>
  <c r="E31" i="2"/>
  <c r="C18" i="2"/>
  <c r="F18" i="2"/>
  <c r="L271" i="1"/>
  <c r="F662" i="1"/>
  <c r="F572" i="1"/>
  <c r="L420" i="1"/>
  <c r="D91" i="2"/>
  <c r="D81" i="2"/>
  <c r="E78" i="2"/>
  <c r="G546" i="1"/>
  <c r="J644" i="1"/>
  <c r="J646" i="1"/>
  <c r="F112" i="1"/>
  <c r="L394" i="1"/>
  <c r="C138" i="2"/>
  <c r="L363" i="1"/>
  <c r="B17" i="16"/>
  <c r="B19" i="16"/>
  <c r="B28" i="16"/>
  <c r="L329" i="1"/>
  <c r="E122" i="2"/>
  <c r="L291" i="1"/>
  <c r="H624" i="1"/>
  <c r="J624" i="1"/>
  <c r="L615" i="1"/>
  <c r="K599" i="1"/>
  <c r="G648" i="1"/>
  <c r="K572" i="1"/>
  <c r="L571" i="1"/>
  <c r="H572" i="1"/>
  <c r="L566" i="1"/>
  <c r="L572" i="1"/>
  <c r="I572" i="1"/>
  <c r="K546" i="1"/>
  <c r="H52" i="1"/>
  <c r="H620" i="1"/>
  <c r="J620" i="1"/>
  <c r="C114" i="2"/>
  <c r="G112" i="1"/>
  <c r="B10" i="16"/>
  <c r="E118" i="2"/>
  <c r="L248" i="1"/>
  <c r="G36" i="14"/>
  <c r="H36" i="14"/>
  <c r="I36" i="14"/>
  <c r="L212" i="1"/>
  <c r="H648" i="1"/>
  <c r="J645" i="1"/>
  <c r="J635" i="1"/>
  <c r="G626" i="1"/>
  <c r="L530" i="1"/>
  <c r="H546" i="1"/>
  <c r="G164" i="2"/>
  <c r="G161" i="2"/>
  <c r="G157" i="2"/>
  <c r="G156" i="2"/>
  <c r="G81" i="2"/>
  <c r="C78" i="2"/>
  <c r="F78" i="2"/>
  <c r="F81" i="2"/>
  <c r="C70" i="2"/>
  <c r="D62" i="2"/>
  <c r="D63" i="2"/>
  <c r="E57" i="2"/>
  <c r="E62" i="2"/>
  <c r="E63" i="2"/>
  <c r="C26" i="10"/>
  <c r="C18" i="10"/>
  <c r="J641" i="1"/>
  <c r="J546" i="1"/>
  <c r="I477" i="1"/>
  <c r="H626" i="1"/>
  <c r="J477" i="1"/>
  <c r="H627" i="1"/>
  <c r="F477" i="1"/>
  <c r="H623" i="1"/>
  <c r="J623" i="1"/>
  <c r="L434" i="1"/>
  <c r="L428" i="1"/>
  <c r="I258" i="1"/>
  <c r="I272" i="1"/>
  <c r="K258" i="1"/>
  <c r="K272" i="1"/>
  <c r="G193" i="1"/>
  <c r="B13" i="16"/>
  <c r="F193" i="1"/>
  <c r="J553" i="1"/>
  <c r="I553" i="1"/>
  <c r="K550" i="1"/>
  <c r="F553" i="1"/>
  <c r="L352" i="1"/>
  <c r="F130" i="2"/>
  <c r="F144" i="2"/>
  <c r="F145" i="2"/>
  <c r="G170" i="1"/>
  <c r="B12" i="16"/>
  <c r="J618" i="1"/>
  <c r="K552" i="1"/>
  <c r="I25" i="13"/>
  <c r="K551" i="1"/>
  <c r="J272" i="1"/>
  <c r="L535" i="1"/>
  <c r="K501" i="1"/>
  <c r="I461" i="1"/>
  <c r="I453" i="1"/>
  <c r="I447" i="1"/>
  <c r="G643" i="1"/>
  <c r="H339" i="1"/>
  <c r="H353" i="1"/>
  <c r="F272" i="1"/>
  <c r="C123" i="2"/>
  <c r="E109"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D5" i="13"/>
  <c r="C5" i="13"/>
  <c r="E8" i="13"/>
  <c r="C8" i="13"/>
  <c r="E128" i="2"/>
  <c r="C12" i="13"/>
  <c r="C35" i="10"/>
  <c r="C29" i="10"/>
  <c r="E81" i="2"/>
  <c r="G650" i="1"/>
  <c r="J650" i="1"/>
  <c r="L545" i="1"/>
  <c r="L525" i="1"/>
  <c r="J339" i="1"/>
  <c r="J353" i="1"/>
  <c r="D127" i="2"/>
  <c r="D128" i="2"/>
  <c r="D145" i="2"/>
  <c r="C124" i="2"/>
  <c r="C122" i="2"/>
  <c r="C118" i="2"/>
  <c r="C19" i="10"/>
  <c r="C16" i="10"/>
  <c r="D17" i="13"/>
  <c r="C17" i="13"/>
  <c r="D7" i="13"/>
  <c r="C7" i="13"/>
  <c r="E16" i="13"/>
  <c r="C16" i="13"/>
  <c r="H661" i="1"/>
  <c r="C10" i="10"/>
  <c r="C109" i="2"/>
  <c r="L230" i="1"/>
  <c r="G24" i="14"/>
  <c r="L338" i="1"/>
  <c r="F62" i="2"/>
  <c r="F63" i="2"/>
  <c r="C23" i="10"/>
  <c r="G163" i="2"/>
  <c r="G162" i="2"/>
  <c r="G160" i="2"/>
  <c r="G159" i="2"/>
  <c r="G158" i="2"/>
  <c r="G103" i="2"/>
  <c r="F103" i="2"/>
  <c r="C103" i="2"/>
  <c r="F91" i="2"/>
  <c r="E50" i="2"/>
  <c r="C50" i="2"/>
  <c r="F31" i="2"/>
  <c r="C31" i="2"/>
  <c r="E18" i="2"/>
  <c r="E144" i="2"/>
  <c r="F50" i="2"/>
  <c r="F51" i="2"/>
  <c r="C24" i="10"/>
  <c r="H31" i="13"/>
  <c r="H33" i="13"/>
  <c r="I339" i="1"/>
  <c r="I353" i="1"/>
  <c r="J651" i="1"/>
  <c r="L408" i="1"/>
  <c r="C140" i="2"/>
  <c r="C141" i="2"/>
  <c r="I193" i="1"/>
  <c r="E91" i="2"/>
  <c r="J655" i="1"/>
  <c r="J654" i="1"/>
  <c r="G21" i="2"/>
  <c r="G31" i="2"/>
  <c r="J32" i="1"/>
  <c r="J435" i="1"/>
  <c r="F435" i="1"/>
  <c r="K435" i="1"/>
  <c r="G134" i="2"/>
  <c r="G144" i="2"/>
  <c r="G145" i="2"/>
  <c r="G31" i="13"/>
  <c r="J194" i="1"/>
  <c r="G647" i="1"/>
  <c r="G140" i="1"/>
  <c r="B11" i="16"/>
  <c r="F140" i="1"/>
  <c r="G63" i="2"/>
  <c r="J619" i="1"/>
  <c r="G42" i="2"/>
  <c r="J51" i="1"/>
  <c r="G16" i="2"/>
  <c r="G18" i="2"/>
  <c r="J19" i="1"/>
  <c r="G622" i="1"/>
  <c r="F546" i="1"/>
  <c r="H435" i="1"/>
  <c r="J621" i="1"/>
  <c r="D103" i="2"/>
  <c r="I140" i="1"/>
  <c r="A22" i="12"/>
  <c r="G50" i="2"/>
  <c r="J653" i="1"/>
  <c r="G572" i="1"/>
  <c r="I435" i="1"/>
  <c r="G435" i="1"/>
  <c r="I664" i="1"/>
  <c r="E51" i="2"/>
  <c r="D51" i="2"/>
  <c r="E115" i="2"/>
  <c r="E145" i="2"/>
  <c r="F661" i="1"/>
  <c r="H665" i="1"/>
  <c r="H668" i="1"/>
  <c r="F194" i="1"/>
  <c r="G628" i="1"/>
  <c r="J628" i="1"/>
  <c r="H649" i="1"/>
  <c r="J649" i="1"/>
  <c r="C81" i="2"/>
  <c r="E104" i="2"/>
  <c r="C36" i="10"/>
  <c r="L435" i="1"/>
  <c r="G639" i="1"/>
  <c r="J639" i="1"/>
  <c r="F665" i="1"/>
  <c r="F668" i="1"/>
  <c r="I662" i="1"/>
  <c r="G104" i="2"/>
  <c r="L339" i="1"/>
  <c r="L353" i="1"/>
  <c r="G634" i="1"/>
  <c r="J634" i="1"/>
  <c r="I194" i="1"/>
  <c r="G631" i="1"/>
  <c r="J631" i="1"/>
  <c r="G636" i="1"/>
  <c r="J636" i="1"/>
  <c r="G51" i="2"/>
  <c r="D104" i="2"/>
  <c r="L409" i="1"/>
  <c r="C27" i="10"/>
  <c r="H673" i="1"/>
  <c r="C6" i="10"/>
  <c r="G4" i="14"/>
  <c r="H4" i="14"/>
  <c r="I4" i="14"/>
  <c r="L546" i="1"/>
  <c r="J626" i="1"/>
  <c r="F104" i="2"/>
  <c r="B14" i="16"/>
  <c r="B22" i="16"/>
  <c r="E33" i="13"/>
  <c r="D35" i="13"/>
  <c r="J648" i="1"/>
  <c r="L258" i="1"/>
  <c r="L272" i="1"/>
  <c r="G633" i="1"/>
  <c r="J633" i="1"/>
  <c r="C115" i="2"/>
  <c r="C63" i="2"/>
  <c r="C104" i="2"/>
  <c r="C39" i="10"/>
  <c r="G33" i="13"/>
  <c r="C144" i="2"/>
  <c r="C128" i="2"/>
  <c r="D31" i="13"/>
  <c r="C31" i="13"/>
  <c r="I462" i="1"/>
  <c r="H643" i="1"/>
  <c r="J643" i="1"/>
  <c r="G661" i="1"/>
  <c r="G665" i="1"/>
  <c r="G673" i="1"/>
  <c r="C5" i="10"/>
  <c r="C25" i="13"/>
  <c r="I33" i="13"/>
  <c r="K553" i="1"/>
  <c r="C28" i="10"/>
  <c r="D23" i="10"/>
  <c r="H24" i="14"/>
  <c r="I24" i="14"/>
  <c r="C51" i="2"/>
  <c r="G632" i="1"/>
  <c r="J632" i="1"/>
  <c r="G194" i="1"/>
  <c r="G629" i="1"/>
  <c r="J629" i="1"/>
  <c r="G627" i="1"/>
  <c r="J627" i="1"/>
  <c r="J52" i="1"/>
  <c r="H622" i="1"/>
  <c r="J622" i="1"/>
  <c r="C38" i="10"/>
  <c r="F673" i="1"/>
  <c r="C4" i="10"/>
  <c r="I661" i="1"/>
  <c r="I665" i="1"/>
  <c r="I673" i="1"/>
  <c r="C7" i="10" s="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<sst xmlns="http://schemas.openxmlformats.org/spreadsheetml/2006/main" count="5546" uniqueCount="1643">
  <si>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</si>
  <si>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</si>
  <si>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</si>
  <si>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</si>
  <si>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</si>
  <si>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</si>
  <si>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</si>
  <si>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</si>
  <si>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</si>
  <si>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</si>
  <si>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</si>
  <si>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</si>
  <si>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</si>
  <si>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</si>
  <si>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</si>
  <si>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</si>
  <si>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</si>
  <si>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</si>
  <si>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</si>
  <si>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</si>
  <si>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</si>
  <si>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</si>
  <si>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</si>
  <si>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</si>
  <si>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</si>
  <si>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</si>
  <si>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</si>
  <si>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</si>
  <si>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</si>
  <si>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</si>
  <si>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</si>
  <si>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</si>
  <si>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</si>
  <si>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</si>
  <si>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</si>
  <si>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</si>
  <si>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</si>
  <si>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</si>
  <si>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</si>
  <si>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</si>
  <si>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</si>
  <si>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</si>
  <si>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</si>
  <si>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</si>
  <si>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</si>
  <si>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</si>
  <si>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</si>
  <si>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</si>
  <si>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</si>
  <si>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</si>
  <si>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</si>
  <si>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</si>
  <si>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</si>
  <si>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</si>
  <si>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</si>
  <si>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</si>
  <si>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</si>
  <si>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</si>
  <si>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</si>
  <si>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</si>
  <si>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</si>
  <si>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</si>
  <si>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</si>
  <si>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</si>
  <si>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</si>
  <si>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</si>
  <si>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</si>
  <si>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</si>
  <si>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</si>
  <si>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</si>
  <si>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</si>
  <si>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</si>
  <si>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</si>
  <si>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</si>
  <si>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</si>
  <si>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</si>
  <si>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</si>
  <si>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</si>
  <si>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</si>
  <si>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</si>
  <si>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</si>
  <si>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</si>
  <si>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</si>
  <si>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</si>
  <si>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</si>
  <si>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</si>
  <si>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</si>
  <si>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</si>
  <si>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</si>
  <si>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</si>
  <si>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</si>
  <si>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</si>
  <si>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</si>
  <si>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</si>
  <si>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</si>
  <si>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</si>
  <si>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</si>
  <si>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</si>
  <si>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</si>
  <si>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</si>
  <si>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</si>
  <si>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</si>
  <si>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</si>
  <si>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</si>
  <si>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</si>
  <si>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</si>
  <si>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</si>
  <si>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</si>
  <si>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</si>
  <si>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</si>
  <si>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</si>
  <si>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</si>
  <si>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</si>
  <si>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</si>
  <si>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</si>
  <si>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</si>
  <si>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</si>
  <si>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</si>
  <si>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</si>
  <si>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</si>
  <si>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</si>
  <si>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</si>
  <si>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</si>
  <si>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</si>
  <si>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</si>
  <si>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</si>
  <si>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</si>
  <si>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</si>
  <si>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</si>
  <si>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</si>
  <si>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</si>
  <si>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</si>
  <si>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</si>
  <si>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</si>
  <si>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</si>
  <si>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</si>
  <si>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</si>
  <si>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</si>
  <si>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</si>
  <si>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</si>
  <si>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</si>
  <si>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</si>
  <si>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</si>
  <si>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</si>
  <si>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</si>
  <si>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</si>
  <si>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</si>
  <si>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</si>
  <si>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</si>
  <si>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</si>
  <si>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</si>
  <si>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</si>
  <si>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</si>
  <si>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</si>
  <si>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</si>
  <si>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</si>
  <si>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</si>
  <si>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</si>
  <si>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</si>
  <si>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</si>
  <si>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</si>
  <si>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</si>
  <si>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</si>
  <si>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</si>
  <si>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</si>
  <si>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</si>
  <si>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</si>
  <si>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</si>
  <si>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</si>
  <si>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</si>
  <si>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</si>
  <si>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</si>
  <si>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</si>
  <si>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</si>
  <si>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</si>
  <si>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</si>
  <si>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</si>
  <si>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</si>
  <si>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</si>
  <si>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</si>
  <si>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</si>
  <si>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</si>
  <si>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</si>
  <si>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</si>
  <si>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</si>
  <si>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</si>
  <si>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</si>
  <si>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</si>
  <si>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</si>
  <si>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</si>
  <si>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</si>
  <si>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</si>
  <si>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</si>
  <si>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</si>
  <si>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</si>
  <si>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</si>
  <si>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</si>
  <si>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</si>
  <si>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</si>
  <si>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</si>
  <si>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</si>
  <si>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</si>
  <si>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</si>
  <si>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</si>
  <si>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</si>
  <si>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</si>
  <si>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</si>
  <si>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</si>
  <si>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</si>
  <si>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</si>
  <si>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</si>
  <si>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</si>
  <si>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</si>
  <si>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</si>
  <si>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</si>
  <si>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</si>
  <si>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</si>
  <si>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</si>
  <si>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</si>
  <si>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</si>
  <si>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</si>
  <si>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</si>
  <si>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</si>
  <si>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</si>
  <si>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</si>
  <si>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</si>
  <si>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</si>
  <si>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</si>
  <si>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</si>
  <si>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</si>
  <si>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</si>
  <si>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</si>
  <si>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</si>
  <si>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</si>
  <si>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</si>
  <si>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</si>
  <si>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</si>
  <si>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</si>
  <si>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</si>
  <si>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</si>
  <si>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</si>
  <si>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</si>
  <si>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</si>
  <si>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</si>
  <si>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</si>
  <si>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</si>
  <si>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</si>
  <si>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</si>
  <si>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</si>
  <si>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</si>
  <si>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</si>
  <si>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</si>
  <si>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</si>
  <si>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</si>
  <si>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</si>
  <si>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</si>
  <si>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</si>
  <si>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</si>
  <si>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</si>
  <si>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</si>
  <si>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</si>
  <si>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</si>
  <si>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</si>
  <si>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</si>
  <si>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</si>
  <si>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</si>
  <si>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</si>
  <si>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</si>
  <si>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</si>
  <si>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</si>
  <si>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</si>
  <si>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</si>
  <si>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</si>
  <si>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</si>
  <si>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</si>
  <si>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</si>
  <si>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</si>
  <si>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</si>
  <si>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</si>
  <si>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</si>
  <si>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</si>
  <si>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</si>
  <si>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</si>
  <si>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</si>
  <si>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</si>
  <si>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</si>
  <si>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</si>
  <si>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</si>
  <si>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</si>
  <si>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</si>
  <si>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</si>
  <si>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</si>
  <si>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</si>
  <si>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</si>
  <si>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</si>
  <si>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</si>
  <si>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</si>
  <si>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</si>
  <si>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</si>
  <si>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</si>
  <si>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</si>
  <si>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</si>
  <si>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</si>
  <si>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</si>
  <si>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</si>
  <si>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</si>
  <si>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</si>
  <si>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</si>
  <si>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</si>
  <si>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</si>
  <si>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</si>
  <si>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</si>
  <si>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</si>
  <si>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</si>
  <si>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</si>
  <si>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</si>
  <si>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</si>
  <si>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</si>
  <si>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</si>
  <si>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</si>
  <si>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</si>
  <si>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</si>
  <si>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</si>
  <si>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</si>
  <si>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</si>
  <si>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</si>
  <si>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</si>
  <si>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</si>
  <si>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</si>
  <si>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</si>
  <si>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</si>
  <si>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</si>
  <si>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</si>
  <si>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</si>
  <si>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</si>
  <si>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</si>
  <si>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</si>
  <si>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</si>
  <si>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</si>
  <si>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</si>
  <si>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</si>
  <si>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</si>
  <si>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</si>
  <si>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</si>
  <si>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</si>
  <si>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</si>
  <si>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</si>
  <si>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</si>
  <si>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</si>
  <si>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</si>
  <si>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</si>
  <si>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</si>
  <si>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</si>
  <si>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</si>
  <si>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</si>
  <si>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</si>
  <si>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</si>
  <si>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</si>
  <si>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</si>
  <si>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</si>
  <si>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</si>
  <si>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</si>
  <si>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</si>
  <si>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</si>
  <si>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</si>
  <si>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</si>
  <si>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</si>
  <si>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</si>
  <si>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</si>
  <si>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</si>
  <si>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</si>
  <si>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</si>
  <si>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</si>
  <si>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</si>
  <si>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</si>
  <si>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</si>
  <si>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</si>
  <si>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</si>
  <si>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</si>
  <si>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</si>
  <si>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</si>
  <si>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</si>
  <si>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</si>
  <si>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</si>
  <si>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</si>
  <si>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</si>
  <si>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</si>
  <si>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</si>
  <si>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</si>
  <si>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</si>
  <si>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</si>
  <si>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</si>
  <si>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</si>
  <si>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</si>
  <si>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</si>
  <si>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</si>
  <si>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</si>
  <si>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</si>
  <si>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</si>
  <si>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</si>
  <si>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</si>
  <si>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</si>
  <si>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</si>
  <si>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</si>
  <si>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</si>
  <si>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</si>
  <si>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</si>
  <si>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</si>
  <si>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</si>
  <si>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</si>
  <si>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</si>
  <si>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</si>
  <si>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</si>
  <si>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</si>
  <si>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</si>
  <si>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</si>
  <si>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</si>
  <si>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</si>
  <si>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</si>
  <si>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</si>
  <si>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</si>
  <si>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</si>
  <si>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</si>
  <si>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</si>
  <si>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</si>
  <si>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</si>
  <si>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</si>
  <si>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</si>
  <si>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</si>
  <si>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</si>
  <si>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</si>
  <si>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</si>
  <si>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</si>
  <si>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</si>
  <si>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</si>
  <si>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</si>
  <si>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</si>
  <si>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</si>
  <si>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</si>
  <si>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</si>
  <si>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</si>
  <si>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</si>
  <si>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</si>
  <si>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</si>
  <si>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</si>
  <si>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</si>
  <si>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</si>
  <si>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</si>
  <si>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</si>
  <si>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</si>
  <si>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</si>
  <si>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</si>
  <si>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</si>
  <si>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</si>
  <si>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</si>
  <si>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</si>
  <si>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</si>
  <si>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</si>
  <si>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</si>
  <si>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</si>
  <si>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</si>
  <si>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</si>
  <si>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</si>
  <si>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</si>
  <si>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</si>
  <si>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</si>
  <si>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</si>
  <si>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</si>
  <si>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</si>
  <si>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</si>
  <si>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</si>
  <si>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</si>
  <si>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</si>
  <si>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</si>
  <si>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</si>
  <si>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</si>
  <si>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</si>
  <si>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</si>
  <si>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</si>
  <si>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</si>
  <si>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</si>
  <si>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</si>
  <si>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</si>
  <si>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</si>
  <si>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</si>
  <si>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</si>
  <si>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</si>
  <si>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</si>
  <si>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</si>
  <si>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</si>
  <si>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</si>
  <si>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</si>
  <si>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</si>
  <si>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</si>
  <si>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</si>
  <si>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</si>
  <si>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</si>
  <si>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</si>
  <si>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</si>
  <si>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</si>
  <si>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</si>
  <si>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</si>
  <si>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</si>
  <si>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</si>
  <si>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</si>
  <si>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</si>
  <si>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</si>
  <si>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</si>
  <si>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</si>
  <si>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</si>
  <si>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</si>
  <si>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</si>
  <si>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</si>
  <si>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</si>
  <si>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</si>
  <si>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</si>
  <si>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</si>
  <si>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</si>
  <si>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</si>
  <si>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</si>
  <si>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</si>
  <si>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</si>
  <si>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</si>
  <si>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</si>
  <si>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</si>
  <si>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</si>
  <si>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</si>
  <si>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</si>
  <si>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</si>
  <si>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</si>
  <si>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</si>
  <si>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</si>
  <si>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</si>
  <si>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</si>
  <si>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</si>
  <si>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</si>
  <si>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</si>
  <si>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</si>
  <si>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</si>
  <si>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</si>
  <si>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</si>
  <si>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</si>
  <si>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</si>
  <si>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</si>
  <si>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</si>
  <si>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</si>
  <si>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</si>
  <si>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</si>
  <si>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</si>
  <si>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</si>
  <si>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</si>
  <si>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</si>
  <si>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</si>
  <si>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</si>
  <si>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</si>
  <si>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</si>
  <si>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</si>
  <si>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</si>
  <si>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</si>
  <si>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</si>
  <si>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</si>
  <si>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</si>
  <si>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</si>
  <si>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</si>
  <si>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</si>
  <si>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</si>
  <si>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</si>
  <si>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</si>
  <si>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</si>
  <si>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</si>
  <si>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</si>
  <si>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</si>
  <si>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</si>
  <si>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</si>
  <si>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</si>
  <si>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</si>
  <si>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</si>
  <si>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</si>
  <si>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</si>
  <si>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</si>
  <si>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</si>
  <si>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</si>
  <si>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</si>
  <si>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</si>
  <si>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</si>
  <si>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</si>
  <si>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</si>
  <si>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</si>
  <si>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</si>
  <si>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</si>
  <si>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</si>
  <si>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</si>
  <si>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</si>
  <si>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</si>
  <si>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</si>
  <si>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</si>
  <si>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</si>
  <si>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</si>
  <si>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</si>
  <si>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</si>
  <si>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</si>
  <si>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</si>
  <si>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</si>
  <si>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</si>
  <si>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</si>
  <si>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</si>
  <si>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</si>
  <si>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</si>
  <si>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</si>
  <si>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</si>
  <si>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</si>
  <si>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</si>
  <si>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</si>
  <si>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</si>
  <si>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</si>
  <si>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</si>
  <si>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</si>
  <si>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</si>
  <si>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</si>
  <si>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</si>
  <si>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</si>
  <si>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</si>
  <si>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</si>
  <si>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</si>
  <si>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</si>
  <si>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</si>
  <si>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</si>
  <si>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</si>
  <si>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</si>
  <si>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</si>
  <si>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</si>
  <si>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</si>
  <si>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</si>
  <si>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</si>
  <si>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</si>
  <si>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</si>
  <si>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</si>
  <si>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</si>
  <si>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</si>
  <si>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</si>
  <si>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</si>
  <si>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</si>
  <si>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</si>
  <si>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</si>
  <si>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</si>
  <si>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</si>
  <si>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</si>
  <si>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</si>
  <si>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</si>
  <si>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</si>
  <si>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</si>
  <si>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</si>
  <si>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</si>
  <si>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</si>
  <si>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</si>
  <si>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</si>
  <si>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</si>
  <si>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</si>
  <si>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</si>
  <si>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</si>
  <si>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</si>
  <si>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</si>
  <si>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</si>
  <si>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</si>
  <si>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</si>
  <si>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</si>
  <si>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</si>
  <si>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</si>
  <si>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</si>
  <si>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</si>
  <si>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</si>
  <si>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</si>
  <si>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</si>
  <si>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</si>
  <si>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</si>
  <si>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</si>
  <si>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</si>
  <si>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</si>
  <si>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</si>
  <si>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</si>
  <si>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</si>
  <si>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</si>
  <si>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</si>
  <si>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</si>
  <si>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</si>
  <si>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</si>
  <si>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</si>
  <si>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</si>
  <si>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</si>
  <si>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</si>
  <si>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</si>
  <si>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</si>
  <si>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</si>
  <si>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</si>
  <si>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</si>
  <si>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</si>
  <si>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</si>
  <si>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</si>
  <si>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</si>
  <si>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</si>
  <si>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</si>
  <si>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</si>
  <si>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</si>
  <si>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</si>
  <si>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</si>
  <si>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</si>
  <si>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</si>
  <si>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</si>
  <si>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</si>
  <si>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</si>
  <si>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</si>
  <si>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</si>
  <si>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</si>
  <si>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</si>
  <si>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</si>
  <si>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</si>
  <si>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</si>
  <si>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</si>
  <si>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</si>
  <si>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</si>
  <si>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</si>
  <si>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</si>
  <si>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</si>
  <si>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</si>
  <si>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</si>
  <si>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</si>
  <si>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</si>
  <si>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</si>
  <si>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</si>
  <si>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</si>
  <si>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</si>
  <si>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</si>
  <si>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</si>
  <si>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</si>
  <si>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</si>
  <si>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</si>
  <si>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</si>
  <si>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</si>
  <si>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</si>
  <si>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</si>
  <si>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</si>
  <si>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</si>
  <si>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</si>
  <si>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</si>
  <si>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</si>
  <si>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</si>
  <si>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</si>
  <si>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</si>
  <si>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</si>
  <si>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</si>
  <si>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</si>
  <si>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</si>
  <si>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</si>
  <si>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</si>
  <si>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</si>
  <si>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</si>
  <si>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</si>
  <si>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</si>
  <si>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</si>
  <si>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</si>
  <si>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</si>
  <si>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</si>
  <si>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</si>
  <si>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</si>
  <si>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</si>
  <si>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</si>
  <si>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</si>
  <si>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</si>
  <si>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</si>
  <si>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</si>
  <si>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</si>
  <si>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</si>
  <si>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</si>
  <si>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</si>
  <si>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</si>
  <si>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</si>
  <si>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</si>
  <si>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</si>
  <si>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</si>
  <si>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</si>
  <si>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</si>
  <si>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</si>
  <si>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</si>
  <si>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</si>
  <si>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</si>
  <si>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</si>
  <si>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</si>
  <si>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</si>
  <si>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</si>
  <si>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</si>
  <si>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</si>
  <si>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</si>
  <si>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</si>
  <si>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</si>
  <si>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</si>
  <si>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</si>
  <si>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</si>
  <si>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</si>
  <si>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</si>
  <si>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</si>
  <si>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</si>
  <si>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</si>
  <si>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</si>
  <si>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</si>
  <si>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</si>
  <si>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</si>
  <si>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</si>
  <si>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</si>
  <si>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</si>
  <si>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</si>
  <si>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</si>
  <si>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</si>
  <si>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</si>
  <si>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</si>
  <si>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</si>
  <si>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</si>
  <si>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</si>
  <si>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</si>
  <si>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</si>
  <si>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</si>
  <si>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</si>
  <si>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</si>
  <si>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</si>
  <si>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</si>
  <si>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</si>
  <si>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</si>
  <si>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</si>
  <si>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</si>
  <si>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</si>
  <si>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</si>
  <si>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</si>
  <si>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</si>
  <si>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</si>
  <si>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</si>
  <si>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</si>
  <si>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</si>
  <si>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</si>
  <si>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</si>
  <si>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</si>
  <si>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</si>
  <si>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</si>
  <si>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</si>
  <si>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</si>
  <si>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</si>
  <si>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</si>
  <si>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</si>
  <si>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</si>
  <si>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</si>
  <si>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</si>
  <si>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</si>
  <si>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</si>
  <si>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</si>
  <si>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</si>
  <si>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</si>
  <si>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</si>
  <si>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</si>
  <si>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</si>
  <si>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</si>
  <si>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</si>
  <si>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</si>
  <si>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</si>
  <si>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</si>
  <si>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</si>
  <si>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</si>
  <si>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</si>
  <si>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</si>
  <si>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</si>
  <si>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</si>
  <si>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</si>
  <si>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</si>
  <si>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</si>
  <si>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</si>
  <si>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</si>
  <si>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</si>
  <si>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</si>
  <si>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</si>
  <si>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</si>
  <si>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</si>
  <si>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</si>
  <si>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</si>
  <si>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</si>
  <si>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</si>
  <si>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</si>
  <si>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</si>
  <si>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</si>
  <si>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</si>
  <si>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</si>
  <si>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</si>
  <si>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</si>
  <si>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</si>
  <si>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</si>
  <si>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</si>
  <si>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</si>
  <si>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</si>
  <si>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</si>
  <si>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</si>
  <si>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</si>
  <si>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</si>
  <si>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</si>
  <si>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</si>
  <si>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</si>
  <si>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</si>
  <si>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</si>
  <si>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</si>
  <si>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</si>
  <si>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</si>
  <si>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</si>
  <si>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</si>
  <si>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</si>
  <si>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</si>
  <si>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</si>
  <si>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</si>
  <si>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</si>
  <si>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</si>
  <si>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</si>
  <si>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</si>
  <si>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</si>
  <si>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</si>
  <si>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</si>
  <si>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</si>
  <si>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</si>
  <si>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</si>
  <si>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</si>
  <si>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</si>
  <si>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</si>
  <si>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</si>
  <si>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</si>
  <si>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</si>
  <si>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</si>
  <si>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</si>
  <si>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</si>
  <si>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</si>
  <si>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</si>
  <si>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</si>
  <si>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</si>
  <si>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</si>
  <si>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</si>
  <si>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</si>
  <si>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</si>
  <si>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</si>
  <si>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</si>
  <si>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</si>
  <si>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</si>
  <si>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</si>
  <si>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</si>
  <si>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</si>
  <si>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</si>
  <si>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</si>
  <si>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</si>
  <si>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</si>
  <si>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</si>
  <si>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</si>
  <si>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</si>
  <si>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</si>
  <si>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</si>
  <si>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</si>
  <si>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</si>
  <si>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</si>
  <si>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</si>
  <si>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</si>
  <si>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</si>
  <si>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</si>
  <si>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</si>
  <si>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</si>
  <si>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</si>
  <si>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</si>
  <si>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</si>
  <si>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</si>
  <si>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</si>
  <si>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</si>
  <si>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</si>
  <si>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</si>
  <si>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</si>
  <si>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</si>
  <si>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</si>
  <si>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</si>
  <si>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</si>
  <si>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</si>
  <si>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</si>
  <si>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</si>
  <si>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</si>
  <si>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</si>
  <si>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</si>
  <si>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</si>
  <si>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</si>
  <si>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</si>
  <si>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</si>
  <si>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</si>
  <si>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</si>
  <si>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</si>
  <si>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</si>
  <si>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</si>
  <si>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</si>
  <si>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</si>
  <si>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</si>
  <si>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</si>
  <si>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</si>
  <si>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</si>
  <si>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</si>
  <si>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</si>
  <si>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</si>
  <si>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</si>
  <si>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</si>
  <si>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</si>
  <si>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</si>
  <si>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</si>
  <si>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</si>
  <si>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</si>
  <si>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</si>
  <si>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</si>
  <si>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</si>
  <si>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</si>
  <si>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</si>
  <si>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</si>
  <si>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</si>
  <si>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</si>
  <si>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</si>
  <si>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</si>
  <si>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</si>
  <si>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</si>
  <si>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</si>
  <si>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</si>
  <si>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</si>
  <si>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</si>
  <si>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</si>
  <si>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</si>
  <si>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</si>
  <si>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</si>
  <si>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</si>
  <si>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</si>
  <si>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</si>
  <si>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</si>
  <si>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</si>
  <si>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</si>
  <si>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</si>
  <si>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</si>
  <si>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</si>
  <si>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</si>
  <si>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</si>
  <si>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</si>
  <si>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</si>
  <si>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</si>
  <si>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</si>
  <si>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</si>
  <si>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</si>
  <si>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</si>
  <si>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</si>
  <si>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</si>
  <si>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</si>
  <si>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</si>
  <si>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</si>
  <si>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</si>
  <si>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</si>
  <si>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</si>
  <si>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</si>
  <si>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</si>
  <si>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</si>
  <si>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</si>
  <si>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</si>
  <si>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</si>
  <si>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</si>
  <si>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</si>
  <si>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</si>
  <si>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</si>
  <si>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</si>
  <si>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</si>
  <si>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</si>
  <si>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</si>
  <si>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</si>
  <si>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</si>
  <si>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</si>
  <si>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</si>
  <si>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</si>
  <si>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</si>
  <si>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</si>
  <si>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</si>
  <si>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</si>
  <si>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</si>
  <si>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</si>
  <si>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</si>
  <si>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</si>
  <si>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</si>
  <si>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</si>
  <si>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</si>
  <si>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</si>
  <si>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</si>
  <si>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</si>
  <si>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</si>
  <si>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</si>
  <si>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</si>
  <si>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</si>
  <si>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</si>
  <si>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</si>
  <si>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</si>
  <si>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</si>
  <si>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</si>
  <si>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</si>
  <si>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</si>
  <si>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</si>
  <si>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</si>
  <si>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</si>
  <si>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</si>
  <si>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</si>
  <si>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</si>
  <si>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</si>
  <si>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</si>
  <si>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</si>
  <si>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</si>
  <si>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</si>
  <si>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</si>
  <si>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</si>
  <si>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</si>
  <si>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</si>
  <si>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</si>
  <si>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</si>
  <si>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</si>
  <si>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</si>
  <si>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</si>
  <si>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</si>
  <si>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</si>
  <si>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</si>
  <si>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</si>
  <si>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</si>
  <si>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</si>
  <si>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</si>
  <si>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</si>
  <si>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</si>
  <si>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</si>
  <si>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</si>
  <si>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</si>
  <si>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</si>
  <si>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</si>
  <si>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</si>
  <si>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</si>
  <si>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</si>
  <si>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</si>
  <si>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</si>
  <si>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</si>
  <si>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</si>
  <si>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</si>
  <si>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</si>
  <si>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</si>
  <si>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</si>
  <si>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</si>
  <si>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</si>
  <si>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</si>
  <si>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</si>
  <si>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</si>
  <si>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</si>
  <si>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</si>
  <si>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</si>
  <si>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</si>
  <si>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</si>
  <si>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</si>
  <si>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</si>
  <si>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</si>
  <si>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</si>
  <si>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</si>
  <si>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</si>
  <si>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</si>
  <si>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</si>
  <si>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</si>
  <si>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</si>
  <si>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</si>
  <si>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</si>
  <si>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</si>
  <si>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</si>
  <si>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</si>
  <si>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</si>
  <si>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</si>
  <si>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</si>
  <si>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</si>
  <si>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</si>
  <si>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</si>
  <si>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</si>
  <si>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</si>
  <si>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</si>
  <si>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</si>
  <si>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</si>
  <si>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</si>
  <si>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</si>
  <si>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</si>
  <si>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</si>
  <si>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</si>
  <si>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</si>
  <si>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</si>
  <si>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</si>
  <si>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</si>
  <si>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</si>
  <si>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</si>
  <si>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</si>
  <si>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</si>
  <si>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</si>
  <si>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</si>
  <si>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</si>
  <si>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</si>
  <si>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</si>
  <si>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</si>
  <si>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</si>
  <si>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</si>
  <si>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</si>
  <si>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</si>
  <si>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</si>
  <si>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</si>
  <si>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</si>
  <si>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</si>
  <si>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</si>
  <si>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</si>
  <si>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</si>
  <si>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</si>
  <si>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</si>
  <si>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</si>
  <si>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</si>
  <si>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</si>
  <si>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</si>
  <si>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</si>
  <si>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</si>
  <si>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</si>
  <si>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</si>
  <si>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</si>
  <si>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</si>
  <si>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</si>
  <si>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</si>
  <si>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</si>
  <si>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</si>
  <si>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</si>
  <si>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</si>
  <si>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</si>
  <si>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</si>
  <si>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</si>
  <si>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</si>
  <si>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</si>
  <si>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</si>
  <si>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</si>
  <si>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</si>
  <si>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</si>
  <si>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</si>
  <si>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</si>
  <si>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</si>
  <si>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</si>
  <si>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</si>
  <si>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</si>
  <si>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</si>
  <si>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</si>
  <si>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</si>
  <si>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</si>
  <si>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</si>
  <si>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</si>
  <si>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</si>
  <si>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</si>
  <si>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</si>
  <si>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</si>
  <si>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</si>
  <si>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</si>
  <si>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</si>
  <si>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</si>
  <si>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</si>
  <si>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</si>
  <si>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</si>
  <si>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</si>
  <si>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</si>
  <si>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</si>
  <si>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</si>
  <si>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</si>
  <si>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</si>
  <si>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</si>
  <si>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</si>
  <si>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</si>
  <si>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</si>
  <si>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</si>
  <si>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</si>
  <si>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</si>
  <si>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</si>
  <si>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</si>
  <si>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</si>
  <si>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</si>
  <si>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</si>
  <si>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</si>
  <si>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</si>
  <si>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</si>
  <si>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</si>
  <si>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</si>
  <si>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</si>
  <si>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</si>
  <si>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</si>
  <si>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</si>
  <si>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</si>
  <si>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</si>
  <si>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</si>
  <si>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</si>
  <si>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</si>
  <si>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</si>
  <si>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</si>
  <si>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</si>
  <si>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</si>
  <si>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</si>
  <si>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</si>
  <si>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</si>
  <si>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</si>
  <si>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</si>
  <si>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</si>
  <si>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</si>
  <si>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</si>
  <si>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</si>
  <si>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</si>
  <si>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</si>
  <si>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</si>
  <si>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</si>
  <si>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</si>
  <si>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</si>
  <si>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</si>
  <si>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</si>
  <si>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</si>
  <si>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</si>
  <si>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</si>
  <si>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</si>
  <si>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</si>
  <si>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</si>
  <si>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</si>
  <si>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</si>
  <si>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</si>
  <si>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</si>
  <si>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</si>
  <si>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</si>
  <si>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</si>
  <si>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</si>
  <si>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</si>
  <si>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</si>
  <si>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</si>
  <si>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</si>
  <si>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</si>
  <si>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</si>
  <si>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</si>
  <si>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</si>
  <si>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</si>
  <si>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</si>
  <si>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</si>
  <si>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</si>
  <si>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</si>
  <si>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</si>
  <si>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</si>
  <si>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</si>
  <si>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</si>
  <si>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</si>
  <si>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</si>
  <si>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</si>
  <si>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</si>
  <si>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</si>
  <si>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</si>
  <si>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</si>
  <si>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</si>
  <si>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</si>
  <si>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</si>
  <si>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</si>
  <si>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</si>
  <si>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</si>
  <si>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</si>
  <si>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</si>
  <si>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</si>
  <si>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</si>
  <si>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</si>
  <si>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</si>
  <si>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</si>
  <si>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</si>
  <si>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</si>
  <si>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</si>
  <si>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</si>
  <si>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</si>
  <si>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</si>
  <si>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</si>
  <si>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</si>
  <si>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</si>
  <si>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</si>
  <si>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</si>
  <si>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</si>
  <si>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</si>
  <si>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</si>
  <si>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</si>
  <si>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</si>
  <si>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</si>
  <si>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</si>
  <si>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</si>
  <si>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</si>
  <si>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</si>
  <si>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</si>
  <si>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</si>
  <si>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</si>
  <si>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</si>
  <si>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</si>
  <si>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</si>
  <si>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</si>
  <si>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</si>
  <si>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</si>
  <si>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</si>
  <si>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</si>
  <si>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</si>
  <si>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</si>
  <si>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</si>
  <si>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</si>
  <si>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</si>
  <si>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</si>
  <si>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</si>
  <si>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</si>
  <si>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</si>
  <si>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</si>
  <si>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</si>
  <si>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</si>
  <si>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</si>
  <si>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</si>
  <si>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</si>
  <si>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</si>
  <si>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</si>
  <si>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</si>
  <si>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</si>
  <si>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</si>
  <si>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</si>
  <si>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</si>
  <si>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</si>
  <si>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</si>
  <si>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</si>
  <si>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</si>
  <si>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</si>
  <si>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</si>
  <si>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</si>
  <si>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</si>
  <si>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</si>
  <si>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</si>
  <si>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</si>
  <si>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</si>
  <si>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</si>
  <si>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</si>
  <si>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</si>
  <si>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</si>
  <si>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</si>
  <si>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</si>
  <si>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</si>
  <si>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</si>
  <si>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</si>
  <si>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</si>
  <si>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</si>
  <si>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</si>
  <si>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</si>
  <si>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</si>
  <si>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</si>
  <si>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</si>
  <si>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</si>
  <si>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</si>
  <si>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</si>
  <si>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</si>
  <si>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</si>
  <si>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</si>
  <si>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</si>
  <si>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</si>
  <si>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</si>
  <si>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</si>
  <si>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</si>
  <si>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</si>
  <si>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</si>
  <si>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</si>
  <si>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</si>
  <si>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</si>
  <si>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</si>
  <si>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</si>
  <si>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</si>
  <si>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</si>
  <si>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</si>
  <si>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</si>
  <si>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</si>
  <si>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</si>
  <si>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</si>
  <si>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</si>
  <si>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</si>
  <si>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</si>
  <si>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</si>
  <si>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</si>
  <si>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</si>
  <si>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</si>
  <si>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</si>
  <si>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</si>
  <si>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</si>
  <si>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</si>
  <si>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</si>
  <si>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</si>
  <si>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</si>
  <si>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</si>
  <si>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</si>
  <si>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</si>
  <si>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</si>
  <si>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</si>
  <si>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</si>
  <si>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</si>
  <si>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</si>
  <si>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</si>
  <si>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</si>
  <si>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</si>
  <si>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</si>
  <si>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</si>
  <si>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</si>
  <si>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</si>
  <si>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</si>
  <si>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</si>
  <si>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</si>
  <si>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</si>
  <si>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</si>
  <si>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</si>
  <si>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</si>
  <si>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</si>
  <si>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</si>
  <si>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</si>
  <si>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</si>
  <si>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</si>
  <si>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</si>
  <si>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</si>
  <si>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</si>
  <si>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</si>
  <si>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</si>
  <si>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</si>
  <si>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</si>
  <si>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</si>
  <si>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</si>
  <si>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</si>
  <si>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</si>
  <si>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</si>
  <si>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</si>
  <si>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</si>
  <si>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</si>
  <si>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</si>
  <si>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</si>
  <si>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</si>
  <si>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</si>
  <si>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</si>
  <si>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</si>
  <si>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</si>
  <si>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</si>
  <si>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</si>
  <si>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</si>
  <si>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</si>
  <si>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</si>
  <si>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</si>
  <si>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</si>
  <si>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</si>
  <si>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</si>
  <si>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</si>
  <si>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</si>
  <si>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</si>
  <si>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</si>
  <si>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</si>
  <si>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</si>
  <si>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</si>
  <si>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</si>
  <si>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</si>
  <si>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</si>
  <si>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</si>
  <si>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</si>
  <si>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</si>
  <si>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</si>
  <si>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</si>
  <si>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</si>
  <si>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</si>
  <si>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</si>
  <si>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</si>
  <si>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</si>
  <si>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</si>
  <si>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</si>
  <si>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</si>
  <si>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</si>
  <si>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</si>
  <si>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</si>
  <si>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</si>
  <si>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</si>
  <si>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</si>
  <si>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</si>
  <si>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</si>
  <si>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</si>
  <si>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</si>
  <si>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</si>
  <si>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</si>
  <si>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</si>
  <si>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</si>
  <si>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</si>
  <si>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</si>
  <si>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</si>
  <si>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</si>
  <si>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</si>
  <si>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</si>
  <si>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</si>
  <si>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</si>
  <si>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</si>
  <si>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</si>
  <si>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</si>
  <si>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</si>
  <si>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</si>
  <si>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</si>
  <si>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</si>
  <si>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</si>
  <si>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</si>
  <si>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</si>
  <si>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</si>
  <si>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</si>
  <si>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</si>
  <si>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</si>
  <si>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</si>
  <si>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</si>
  <si>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</si>
  <si>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</si>
  <si>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</si>
  <si>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</si>
  <si>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</si>
  <si>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</si>
  <si>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</si>
  <si>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</si>
  <si>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</si>
  <si>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</si>
  <si>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</si>
  <si>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</si>
  <si>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</si>
  <si>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</si>
  <si>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</si>
  <si>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</si>
  <si>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</si>
  <si>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</si>
  <si>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</si>
  <si>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</si>
  <si>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</si>
  <si>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</si>
  <si>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</si>
  <si>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</si>
  <si>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</si>
  <si>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</si>
  <si>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</si>
  <si>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</si>
  <si>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</si>
  <si>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</si>
  <si>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</si>
  <si>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</si>
  <si>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</si>
  <si>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</si>
  <si>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</si>
  <si>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</si>
  <si>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</si>
  <si>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</si>
  <si>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</si>
  <si>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NEWINGTON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</si>
</sst>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5" activePane="bottomRight" state="frozen"/>
      <selection pane="topRight" activeCell="F1" sqref="F1"/>
      <selection pane="bottomLeft" activeCell="A4" sqref="A4"/>
      <selection pane="bottomRight" activeCell="G670" sqref="G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391</v>
      </c>
      <c r="C2" s="21">
        <v>391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274575.67</v>
      </c>
      <c r="G9" s="18">
        <v>51.1</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525.30999999999995</v>
      </c>
      <c r="H12" s="18">
        <v>2476.02</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27.84</v>
      </c>
      <c r="H13" s="18">
        <v>469.8</v>
      </c>
      <c r="I13" s="18"/>
      <c r="J13" s="67">
        <f>SUM(I443)</f>
        <v>289260.64</v>
      </c>
      <c r="K13" s="24" t="s">
        <v>288</v>
      </c>
      <c r="L13" s="24" t="s">
        <v>288</v>
      </c>
      <c r="M13" s="8"/>
      <c r="N13" s="266"/>
    </row>
    <row r="14" spans="1:14" s="3" customFormat="1" ht="12.2" customHeight="1" x14ac:dyDescent="0.15">
      <c r="A14" s="1" t="s">
        <v>565</v>
      </c>
      <c r="B14" s="2" t="s">
        <v>289</v>
      </c>
      <c r="C14" s="6">
        <v>6</v>
      </c>
      <c r="D14" s="2" t="s">
        <v>428</v>
      </c>
      <c r="E14" s="6">
        <v>150</v>
      </c>
      <c r="F14" s="18">
        <v>359.82</v>
      </c>
      <c r="G14" s="18">
        <v>3.85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719.97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274935.49</v>
      </c>
      <c r="G19" s="41">
        <f>SUM(G9:G18)</f>
        <v>1328.0700000000002</v>
      </c>
      <c r="H19" s="41">
        <f>SUM(H9:H18)</f>
        <v>2945.82</v>
      </c>
      <c r="I19" s="41">
        <f>SUM(I9:I18)</f>
        <v>0</v>
      </c>
      <c r="J19" s="41">
        <f>SUM(J9:J18)</f>
        <v>289260.64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3001.33</v>
      </c>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v>608.1</v>
      </c>
      <c r="H24" s="18">
        <v>2945.82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32650.080000000002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35651.410000000003</v>
      </c>
      <c r="G32" s="41">
        <f>SUM(G22:G31)</f>
        <v>608.1</v>
      </c>
      <c r="H32" s="41">
        <f>SUM(H22:H31)</f>
        <v>2945.82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719.97</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48667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289260.64</v>
      </c>
      <c r="K48" s="24" t="s">
        <v>288</v>
      </c>
      <c r="L48" s="24" t="s">
        <v>288</v>
      </c>
      <c r="M48" s="8"/>
      <c r="N48" s="266"/>
    </row>
    <row r="49" spans="1:14" s="3" customFormat="1" ht="12.2" customHeight="1" x14ac:dyDescent="0.15">
      <c r="A49" s="1" t="s">
        <v>859</v>
      </c>
      <c r="B49" s="2" t="s">
        <v>289</v>
      </c>
      <c r="C49" s="6">
        <v>34</v>
      </c>
      <c r="D49" s="2"/>
      <c r="E49" s="6">
        <v>753</v>
      </c>
      <c r="F49" s="18">
        <v>2662.98</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167954.1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239284.08000000002</v>
      </c>
      <c r="G51" s="41">
        <f>SUM(G35:G50)</f>
        <v>719.97</v>
      </c>
      <c r="H51" s="41">
        <f>SUM(H35:H50)</f>
        <v>0</v>
      </c>
      <c r="I51" s="41">
        <f>SUM(I35:I50)</f>
        <v>0</v>
      </c>
      <c r="J51" s="41">
        <f>SUM(J35:J50)</f>
        <v>289260.64</v>
      </c>
      <c r="K51" s="45" t="s">
        <v>288</v>
      </c>
      <c r="L51" s="45" t="s">
        <v>288</v>
      </c>
      <c r="N51" s="264"/>
    </row>
    <row r="52" spans="1:14" s="3" customFormat="1" ht="12.2" customHeight="1" thickTop="1" x14ac:dyDescent="0.15">
      <c r="A52" s="38" t="s">
        <v>455</v>
      </c>
      <c r="B52" s="39" t="s">
        <v>289</v>
      </c>
      <c r="C52" s="6">
        <v>37</v>
      </c>
      <c r="D52" s="39" t="s">
        <v>653</v>
      </c>
      <c r="E52" s="39"/>
      <c r="F52" s="41">
        <f>F51+F32</f>
        <v>274935.49</v>
      </c>
      <c r="G52" s="41">
        <f>G51+G32</f>
        <v>1328.0700000000002</v>
      </c>
      <c r="H52" s="41">
        <f>H51+H32</f>
        <v>2945.82</v>
      </c>
      <c r="I52" s="41">
        <f>I51+I32</f>
        <v>0</v>
      </c>
      <c r="J52" s="41">
        <f>J51+J32</f>
        <v>289260.64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695663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695663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37828.5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37828.5</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5307.03</v>
      </c>
      <c r="G96" s="18">
        <v>25.02</v>
      </c>
      <c r="H96" s="18"/>
      <c r="I96" s="18"/>
      <c r="J96" s="18">
        <v>2837.13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9105.6299999999992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11477</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1000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1756.75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18540.78</v>
      </c>
      <c r="G111" s="41">
        <f>SUM(G96:G110)</f>
        <v>9130.65</v>
      </c>
      <c r="H111" s="41">
        <f>SUM(H96:H110)</f>
        <v>1000</v>
      </c>
      <c r="I111" s="41">
        <f>SUM(I96:I110)</f>
        <v>0</v>
      </c>
      <c r="J111" s="41">
        <f>SUM(J96:J110)</f>
        <v>2837.13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752032.28</v>
      </c>
      <c r="G112" s="41">
        <f>G60+G111</f>
        <v>9130.65</v>
      </c>
      <c r="H112" s="41">
        <f>H60+H79+H94+H111</f>
        <v>1000</v>
      </c>
      <c r="I112" s="41">
        <f>I60+I111</f>
        <v>0</v>
      </c>
      <c r="J112" s="41">
        <f>J60+J111</f>
        <v>2837.13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1251018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1251018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1980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13191.31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15171.31</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1266189.31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13478.36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4883.1899999999996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25572.94+1724.42</f>
        <v>27297.360000000001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4883.1899999999996</v>
      </c>
      <c r="H163" s="41">
        <f>SUM(H150:H162)</f>
        <v>40775.72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4883.1899999999996</v>
      </c>
      <c r="H170" s="41">
        <f>H147+H163+SUM(H164:H169)</f>
        <v>40775.72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13677.83</v>
      </c>
      <c r="H180" s="18"/>
      <c r="I180" s="18"/>
      <c r="J180" s="18">
        <v>60000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13677.83</v>
      </c>
      <c r="H184" s="41">
        <f>SUM(H180:H183)</f>
        <v>0</v>
      </c>
      <c r="I184" s="41">
        <f>SUM(I180:I183)</f>
        <v>0</v>
      </c>
      <c r="J184" s="41">
        <f>SUM(J180:J183)</f>
        <v>60000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13677.83</v>
      </c>
      <c r="H193" s="41">
        <f>+H184+SUM(H189:H192)</f>
        <v>0</v>
      </c>
      <c r="I193" s="41">
        <f>I178+I184+SUM(I189:I192)</f>
        <v>0</v>
      </c>
      <c r="J193" s="41">
        <f>J184</f>
        <v>60000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2018221.59</v>
      </c>
      <c r="G194" s="47">
        <f>G112+G140+G170+G193</f>
        <v>27691.67</v>
      </c>
      <c r="H194" s="47">
        <f>H112+H140+H170+H193</f>
        <v>41775.72</v>
      </c>
      <c r="I194" s="47">
        <f>I112+I140+I170+I193</f>
        <v>0</v>
      </c>
      <c r="J194" s="47">
        <f>J112+J140+J193</f>
        <v>62837.13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367279.39</v>
      </c>
      <c r="G198" s="18">
        <v>182569.5</v>
      </c>
      <c r="H198" s="18">
        <v>3201.87</v>
      </c>
      <c r="I198" s="18">
        <v>14148.86</v>
      </c>
      <c r="J198" s="18">
        <v>868.97</v>
      </c>
      <c r="K198" s="18"/>
      <c r="L198" s="19">
        <f>SUM(F198:K198)</f>
        <v>568068.59</v>
      </c>
      <c r="M198" s="8"/>
      <c r="N198" s="266"/>
    </row>
    <row r="199" spans="1:14" s="3" customFormat="1" ht="12.2" customHeight="1" x14ac:dyDescent="0.15">
      <c r="A199" s="1" t="s">
        <v>439</v>
      </c>
      <c r="B199" s="2" t="s">
        <v>341</v>
      </c>
      <c r="C199" s="2" t="s">
        <v>291</v>
      </c>
      <c r="D199" s="2" t="s">
        <v>431</v>
      </c>
      <c r="E199" s="6">
        <v>1200</v>
      </c>
      <c r="F199" s="18">
        <v>74716.149999999994</v>
      </c>
      <c r="G199" s="18">
        <v>37140.36</v>
      </c>
      <c r="H199" s="18">
        <f>17592.5+6</f>
        <v>17598.5</v>
      </c>
      <c r="I199" s="18">
        <v>4455.97</v>
      </c>
      <c r="J199" s="18"/>
      <c r="K199" s="18">
        <v>904</v>
      </c>
      <c r="L199" s="19">
        <f>SUM(F199:K199)</f>
        <v>134814.97999999998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8288.75</v>
      </c>
      <c r="G201" s="18">
        <v>4120.22</v>
      </c>
      <c r="H201" s="18">
        <v>4239.88</v>
      </c>
      <c r="I201" s="18">
        <v>36.840000000000003</v>
      </c>
      <c r="J201" s="18"/>
      <c r="K201" s="18"/>
      <c r="L201" s="19">
        <f>SUM(F201:K201)</f>
        <v>16685.690000000002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24656.45</v>
      </c>
      <c r="G203" s="18">
        <v>12256.38</v>
      </c>
      <c r="H203" s="18">
        <f>12134.36+280</f>
        <v>12414.36</v>
      </c>
      <c r="I203" s="18">
        <v>434.45</v>
      </c>
      <c r="J203" s="18"/>
      <c r="K203" s="18"/>
      <c r="L203" s="19">
        <f t="shared" ref="L203:L209" si="0">SUM(F203:K203)</f>
        <v>49761.64</v>
      </c>
      <c r="M203" s="8"/>
      <c r="N203" s="266"/>
    </row>
    <row r="204" spans="1:14" s="3" customFormat="1" ht="12.2" customHeight="1" x14ac:dyDescent="0.15">
      <c r="A204" s="1" t="s">
        <v>443</v>
      </c>
      <c r="B204" s="2" t="s">
        <v>341</v>
      </c>
      <c r="C204" s="2" t="s">
        <v>295</v>
      </c>
      <c r="D204" s="2" t="s">
        <v>431</v>
      </c>
      <c r="E204" s="6">
        <v>2200</v>
      </c>
      <c r="F204" s="18">
        <v>8412.75</v>
      </c>
      <c r="G204" s="18">
        <f>4181.86+5311.06</f>
        <v>9492.92</v>
      </c>
      <c r="H204" s="18">
        <f>3823.4+526.44+2132.22</f>
        <v>6482.0599999999995</v>
      </c>
      <c r="I204" s="18">
        <v>2640.77</v>
      </c>
      <c r="J204" s="18">
        <v>4988.17</v>
      </c>
      <c r="K204" s="18">
        <v>128</v>
      </c>
      <c r="L204" s="19">
        <f t="shared" si="0"/>
        <v>32144.67</v>
      </c>
      <c r="M204" s="8"/>
      <c r="N204" s="266"/>
    </row>
    <row r="205" spans="1:14" s="3" customFormat="1" ht="12.2" customHeight="1" x14ac:dyDescent="0.15">
      <c r="A205" s="1" t="s">
        <v>444</v>
      </c>
      <c r="B205" s="2" t="s">
        <v>341</v>
      </c>
      <c r="C205" s="2" t="s">
        <v>296</v>
      </c>
      <c r="D205" s="2" t="s">
        <v>431</v>
      </c>
      <c r="E205" s="6">
        <v>2300</v>
      </c>
      <c r="F205" s="18">
        <v>11400</v>
      </c>
      <c r="G205" s="18">
        <v>5666.78</v>
      </c>
      <c r="H205" s="18">
        <f>216843.1+375.06</f>
        <v>217218.16</v>
      </c>
      <c r="I205" s="18"/>
      <c r="J205" s="18"/>
      <c r="K205" s="18">
        <v>3218.23</v>
      </c>
      <c r="L205" s="19">
        <f t="shared" si="0"/>
        <v>237503.17</v>
      </c>
      <c r="M205" s="8"/>
      <c r="N205" s="266"/>
    </row>
    <row r="206" spans="1:14" s="3" customFormat="1" ht="12.2" customHeight="1" x14ac:dyDescent="0.15">
      <c r="A206" s="1" t="s">
        <v>445</v>
      </c>
      <c r="B206" s="2" t="s">
        <v>341</v>
      </c>
      <c r="C206" s="2" t="s">
        <v>297</v>
      </c>
      <c r="D206" s="2" t="s">
        <v>431</v>
      </c>
      <c r="E206" s="6">
        <v>2400</v>
      </c>
      <c r="F206" s="18">
        <v>124712.13</v>
      </c>
      <c r="G206" s="18">
        <f>61992.68+19.95</f>
        <v>62012.63</v>
      </c>
      <c r="H206" s="18">
        <v>6963.63</v>
      </c>
      <c r="I206" s="18">
        <v>968.38</v>
      </c>
      <c r="J206" s="18"/>
      <c r="K206" s="18">
        <v>795</v>
      </c>
      <c r="L206" s="19">
        <f t="shared" si="0"/>
        <v>195451.77000000002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t="s">
        <v>286</v>
      </c>
      <c r="L207" s="19">
        <f t="shared" si="0"/>
        <v>0</v>
      </c>
      <c r="M207" s="8"/>
      <c r="N207" s="266"/>
    </row>
    <row r="208" spans="1:14" s="3" customFormat="1" ht="12.2" customHeight="1" x14ac:dyDescent="0.15">
      <c r="A208" s="1" t="s">
        <v>447</v>
      </c>
      <c r="B208" s="2" t="s">
        <v>341</v>
      </c>
      <c r="C208" s="2" t="s">
        <v>299</v>
      </c>
      <c r="D208" s="2" t="s">
        <v>431</v>
      </c>
      <c r="E208" s="6">
        <v>2600</v>
      </c>
      <c r="F208" s="18">
        <v>29617.24</v>
      </c>
      <c r="G208" s="18">
        <v>14722.33</v>
      </c>
      <c r="H208" s="18">
        <f>61354.63+3220.22</f>
        <v>64574.85</v>
      </c>
      <c r="I208" s="18">
        <v>26309.32</v>
      </c>
      <c r="J208" s="18"/>
      <c r="K208" s="18"/>
      <c r="L208" s="19">
        <f t="shared" si="0"/>
        <v>135223.74</v>
      </c>
      <c r="M208" s="8"/>
      <c r="N208" s="266"/>
    </row>
    <row r="209" spans="1:14" s="3" customFormat="1" ht="12.2" customHeight="1" x14ac:dyDescent="0.15">
      <c r="A209" s="1" t="s">
        <v>448</v>
      </c>
      <c r="B209" s="2" t="s">
        <v>341</v>
      </c>
      <c r="C209" s="2" t="s">
        <v>300</v>
      </c>
      <c r="D209" s="2" t="s">
        <v>431</v>
      </c>
      <c r="E209" s="6">
        <v>2700</v>
      </c>
      <c r="F209" s="18"/>
      <c r="G209" s="18"/>
      <c r="H209" s="18">
        <f>58316.68</f>
        <v>58316.68</v>
      </c>
      <c r="I209" s="18"/>
      <c r="J209" s="18"/>
      <c r="K209" s="18"/>
      <c r="L209" s="19">
        <f t="shared" si="0"/>
        <v>58316.68</v>
      </c>
      <c r="M209" s="8"/>
      <c r="N209" s="266"/>
    </row>
    <row r="210" spans="1:14" s="3" customFormat="1" ht="12.2" customHeight="1" x14ac:dyDescent="0.15">
      <c r="A210" s="1" t="s">
        <v>449</v>
      </c>
      <c r="B210" s="2" t="s">
        <v>341</v>
      </c>
      <c r="C210" s="2" t="s">
        <v>343</v>
      </c>
      <c r="D210" s="2" t="s">
        <v>431</v>
      </c>
      <c r="E210" s="6">
        <v>2800</v>
      </c>
      <c r="F210" s="18"/>
      <c r="G210" s="18">
        <v>1175</v>
      </c>
      <c r="H210" s="18">
        <f>1541.61+531.78</f>
        <v>2073.39</v>
      </c>
      <c r="I210" s="18"/>
      <c r="J210" s="18"/>
      <c r="K210" s="18"/>
      <c r="L210" s="19">
        <f>SUM(F210:K210)</f>
        <v>3248.39</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649082.8600000001</v>
      </c>
      <c r="G212" s="41">
        <f t="shared" si="1"/>
        <v>329156.12</v>
      </c>
      <c r="H212" s="41">
        <f t="shared" si="1"/>
        <v>393083.38</v>
      </c>
      <c r="I212" s="41">
        <f t="shared" si="1"/>
        <v>48994.590000000004</v>
      </c>
      <c r="J212" s="41">
        <f t="shared" si="1"/>
        <v>5857.14</v>
      </c>
      <c r="K212" s="41">
        <f t="shared" si="1"/>
        <v>5045.2299999999996</v>
      </c>
      <c r="L212" s="41">
        <f t="shared" si="1"/>
        <v>1431219.32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148047.47</v>
      </c>
      <c r="I216" s="18"/>
      <c r="J216" s="18"/>
      <c r="K216" s="18"/>
      <c r="L216" s="19">
        <f>SUM(F216:K216)</f>
        <v>148047.47</v>
      </c>
      <c r="M216" s="8"/>
      <c r="N216" s="266"/>
    </row>
    <row r="217" spans="1:14" s="3" customFormat="1" ht="12.2" customHeight="1" x14ac:dyDescent="0.15">
      <c r="A217" s="1" t="s">
        <v>439</v>
      </c>
      <c r="B217" s="2" t="s">
        <v>346</v>
      </c>
      <c r="C217" s="2" t="s">
        <v>291</v>
      </c>
      <c r="D217" s="2" t="s">
        <v>431</v>
      </c>
      <c r="E217" s="6">
        <v>1200</v>
      </c>
      <c r="F217" s="18"/>
      <c r="G217" s="18"/>
      <c r="H217" s="18">
        <f>1110.4+7011.78</f>
        <v>8122.18</v>
      </c>
      <c r="I217" s="18"/>
      <c r="J217" s="18"/>
      <c r="K217" s="18"/>
      <c r="L217" s="19">
        <f>SUM(F217:K217)</f>
        <v>8122.18</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v>8301.2900000000009</v>
      </c>
      <c r="I219" s="18"/>
      <c r="J219" s="18"/>
      <c r="K219" s="18"/>
      <c r="L219" s="19">
        <f>SUM(F219:K219)</f>
        <v>8301.2900000000009</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26781.82</v>
      </c>
      <c r="I227" s="18"/>
      <c r="J227" s="18"/>
      <c r="K227" s="18"/>
      <c r="L227" s="19">
        <f t="shared" si="2"/>
        <v>26781.82</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191252.76</v>
      </c>
      <c r="I230" s="41">
        <f>SUM(I216:I229)</f>
        <v>0</v>
      </c>
      <c r="J230" s="41">
        <f>SUM(J216:J229)</f>
        <v>0</v>
      </c>
      <c r="K230" s="41">
        <f t="shared" si="3"/>
        <v>0</v>
      </c>
      <c r="L230" s="41">
        <f t="shared" si="3"/>
        <v>191252.76</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340223.29</v>
      </c>
      <c r="I234" s="18"/>
      <c r="J234" s="18"/>
      <c r="K234" s="18"/>
      <c r="L234" s="19">
        <f>SUM(F234:K234)</f>
        <v>340223.29</v>
      </c>
      <c r="M234" s="8"/>
      <c r="N234" s="266"/>
    </row>
    <row r="235" spans="1:14" s="3" customFormat="1" ht="12.2" customHeight="1" x14ac:dyDescent="0.15">
      <c r="A235" s="1" t="s">
        <v>439</v>
      </c>
      <c r="B235" s="2" t="s">
        <v>350</v>
      </c>
      <c r="C235" s="2" t="s">
        <v>291</v>
      </c>
      <c r="D235" s="2" t="s">
        <v>431</v>
      </c>
      <c r="E235" s="6">
        <v>1200</v>
      </c>
      <c r="F235" s="18"/>
      <c r="G235" s="18"/>
      <c r="H235" s="18">
        <v>16997</v>
      </c>
      <c r="I235" s="18"/>
      <c r="J235" s="18"/>
      <c r="K235" s="18"/>
      <c r="L235" s="19">
        <f>SUM(F235:K235)</f>
        <v>16997</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22895.8</v>
      </c>
      <c r="I245" s="18"/>
      <c r="J245" s="18"/>
      <c r="K245" s="18"/>
      <c r="L245" s="19">
        <f t="shared" si="4"/>
        <v>22895.8</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380116.08999999997</v>
      </c>
      <c r="I248" s="41">
        <f t="shared" si="5"/>
        <v>0</v>
      </c>
      <c r="J248" s="41">
        <f t="shared" si="5"/>
        <v>0</v>
      </c>
      <c r="K248" s="41">
        <f t="shared" si="5"/>
        <v>0</v>
      </c>
      <c r="L248" s="41">
        <f t="shared" si="5"/>
        <v>380116.08999999997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689</v>
      </c>
      <c r="I256" s="18"/>
      <c r="J256" s="18"/>
      <c r="K256" s="18"/>
      <c r="L256" s="19">
        <f t="shared" si="6"/>
        <v>689</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689</v>
      </c>
      <c r="I257" s="41">
        <f t="shared" si="7"/>
        <v>0</v>
      </c>
      <c r="J257" s="41">
        <f t="shared" si="7"/>
        <v>0</v>
      </c>
      <c r="K257" s="41">
        <f t="shared" si="7"/>
        <v>0</v>
      </c>
      <c r="L257" s="41">
        <f>SUM(F257:K257)</f>
        <v>689</v>
      </c>
      <c r="M257" s="8"/>
      <c r="N257" s="266"/>
    </row>
    <row r="258" spans="1:14" s="3" customFormat="1" ht="12.2" customHeight="1" thickTop="1" x14ac:dyDescent="0.15">
      <c r="A258" s="38" t="s">
        <v>462</v>
      </c>
      <c r="B258" s="40">
        <v>10</v>
      </c>
      <c r="C258" s="40">
        <v>8</v>
      </c>
      <c r="D258" s="39" t="s">
        <v>431</v>
      </c>
      <c r="E258" s="40"/>
      <c r="F258" s="41">
        <f t="shared" ref="F258:L258" si="8">F212+F230+F248+F257</f>
        <v>649082.8600000001</v>
      </c>
      <c r="G258" s="41">
        <f t="shared" si="8"/>
        <v>329156.12</v>
      </c>
      <c r="H258" s="41">
        <f t="shared" si="8"/>
        <v>965141.23</v>
      </c>
      <c r="I258" s="41">
        <f t="shared" si="8"/>
        <v>48994.590000000004</v>
      </c>
      <c r="J258" s="41">
        <f t="shared" si="8"/>
        <v>5857.14</v>
      </c>
      <c r="K258" s="41">
        <f t="shared" si="8"/>
        <v>5045.2299999999996</v>
      </c>
      <c r="L258" s="41">
        <f t="shared" si="8"/>
        <v>2003277.17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13677.83</v>
      </c>
      <c r="L264" s="19">
        <f>SUM(F264:K264)</f>
        <v>13677.83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73677.83</v>
      </c>
      <c r="L271" s="41">
        <f t="shared" si="9"/>
        <v>73677.83</v>
      </c>
      <c r="M271" s="8"/>
      <c r="N271" s="266"/>
    </row>
    <row r="272" spans="1:14" s="34" customFormat="1" ht="12.2" customHeight="1" thickTop="1" x14ac:dyDescent="0.2">
      <c r="A272" s="43" t="s">
        <v>464</v>
      </c>
      <c r="B272" s="40">
        <v>10</v>
      </c>
      <c r="C272" s="40">
        <v>18</v>
      </c>
      <c r="D272" s="39" t="s">
        <v>431</v>
      </c>
      <c r="E272" s="40"/>
      <c r="F272" s="42">
        <f t="shared" ref="F272:L272" si="11">F258+F271</f>
        <v>649082.8600000001</v>
      </c>
      <c r="G272" s="42">
        <f t="shared" si="11"/>
        <v>329156.12</v>
      </c>
      <c r="H272" s="42">
        <f t="shared" si="11"/>
        <v>965141.23</v>
      </c>
      <c r="I272" s="42">
        <f t="shared" si="11"/>
        <v>48994.590000000004</v>
      </c>
      <c r="J272" s="42">
        <f t="shared" si="11"/>
        <v>5857.14</v>
      </c>
      <c r="K272" s="42">
        <f t="shared" si="11"/>
        <v>78723.06</v>
      </c>
      <c r="L272" s="42">
        <f t="shared" si="11"/>
        <v>2076955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120</v>
      </c>
      <c r="G277" s="18">
        <v>9.18</v>
      </c>
      <c r="H277" s="18"/>
      <c r="I277" s="18">
        <f>250+1345.95</f>
        <v>1595.95</v>
      </c>
      <c r="J277" s="18">
        <f>1000+5776.5</f>
        <v>6776.5</v>
      </c>
      <c r="K277" s="18"/>
      <c r="L277" s="19">
        <f>SUM(F277:K277)</f>
        <v>8501.630000000001</v>
      </c>
      <c r="M277" s="8"/>
      <c r="N277" s="266"/>
    </row>
    <row r="278" spans="1:14" s="3" customFormat="1" ht="12.2" customHeight="1" x14ac:dyDescent="0.15">
      <c r="A278" s="1" t="s">
        <v>439</v>
      </c>
      <c r="B278" s="2" t="s">
        <v>357</v>
      </c>
      <c r="C278" s="2" t="s">
        <v>291</v>
      </c>
      <c r="D278" s="2" t="s">
        <v>431</v>
      </c>
      <c r="E278" s="6">
        <v>1200</v>
      </c>
      <c r="F278" s="18">
        <f>3800+1000+12751.02</f>
        <v>17551.02</v>
      </c>
      <c r="G278" s="18">
        <f>925.37+251.36+2338.36</f>
        <v>3515.09</v>
      </c>
      <c r="H278" s="18">
        <f>10393.7+1724.42</f>
        <v>12118.12</v>
      </c>
      <c r="I278" s="18">
        <v>89.86</v>
      </c>
      <c r="J278" s="18"/>
      <c r="K278" s="18"/>
      <c r="L278" s="19">
        <f>SUM(F278:K278)</f>
        <v>33274.090000000004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17671.02</v>
      </c>
      <c r="G291" s="42">
        <f t="shared" si="13"/>
        <v>3524.27</v>
      </c>
      <c r="H291" s="42">
        <f t="shared" si="13"/>
        <v>12118.12</v>
      </c>
      <c r="I291" s="42">
        <f t="shared" si="13"/>
        <v>1685.81</v>
      </c>
      <c r="J291" s="42">
        <f t="shared" si="13"/>
        <v>6776.5</v>
      </c>
      <c r="K291" s="42">
        <f t="shared" si="13"/>
        <v>0</v>
      </c>
      <c r="L291" s="41">
        <f t="shared" si="13"/>
        <v>41775.72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17671.02</v>
      </c>
      <c r="G339" s="41">
        <f t="shared" si="20"/>
        <v>3524.27</v>
      </c>
      <c r="H339" s="41">
        <f t="shared" si="20"/>
        <v>12118.12</v>
      </c>
      <c r="I339" s="41">
        <f t="shared" si="20"/>
        <v>1685.81</v>
      </c>
      <c r="J339" s="41">
        <f t="shared" si="20"/>
        <v>6776.5</v>
      </c>
      <c r="K339" s="41">
        <f t="shared" si="20"/>
        <v>0</v>
      </c>
      <c r="L339" s="41">
        <f t="shared" si="20"/>
        <v>41775.72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17671.02</v>
      </c>
      <c r="G353" s="41">
        <f>G339</f>
        <v>3524.27</v>
      </c>
      <c r="H353" s="41">
        <f>H339</f>
        <v>12118.12</v>
      </c>
      <c r="I353" s="41">
        <f>I339</f>
        <v>1685.81</v>
      </c>
      <c r="J353" s="41">
        <f>J339</f>
        <v>6776.5</v>
      </c>
      <c r="K353" s="47">
        <f>K339+K352</f>
        <v>0</v>
      </c>
      <c r="L353" s="41">
        <f>L339+L352</f>
        <v>41775.72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8918.91</v>
      </c>
      <c r="G359" s="18"/>
      <c r="H359" s="18">
        <f>1896.81+185+584.09</f>
        <v>2665.9</v>
      </c>
      <c r="I359" s="18">
        <f>1729.51+14131.67</f>
        <v>15861.18</v>
      </c>
      <c r="J359" s="18"/>
      <c r="K359" s="18"/>
      <c r="L359" s="13">
        <f>SUM(F359:K359)</f>
        <v>27445.989999999998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8918.91</v>
      </c>
      <c r="G363" s="47">
        <f t="shared" si="22"/>
        <v>0</v>
      </c>
      <c r="H363" s="47">
        <f t="shared" si="22"/>
        <v>2665.9</v>
      </c>
      <c r="I363" s="47">
        <f t="shared" si="22"/>
        <v>15861.18</v>
      </c>
      <c r="J363" s="47">
        <f t="shared" si="22"/>
        <v>0</v>
      </c>
      <c r="K363" s="47">
        <f t="shared" si="22"/>
        <v>0</v>
      </c>
      <c r="L363" s="47">
        <f t="shared" si="22"/>
        <v>27445.989999999998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14131.67</v>
      </c>
      <c r="G368" s="18"/>
      <c r="H368" s="18"/>
      <c r="I368" s="56">
        <f>SUM(F368:H368)</f>
        <v>14131.67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1729.51</v>
      </c>
      <c r="G369" s="63"/>
      <c r="H369" s="63"/>
      <c r="I369" s="56">
        <f>SUM(F369:H369)</f>
        <v>1729.51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15861.18</v>
      </c>
      <c r="G370" s="47">
        <f>SUM(G368:G369)</f>
        <v>0</v>
      </c>
      <c r="H370" s="47">
        <f>SUM(H368:H369)</f>
        <v>0</v>
      </c>
      <c r="I370" s="47">
        <f>SUM(I368:I369)</f>
        <v>15861.18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20000</v>
      </c>
      <c r="H397" s="18">
        <v>768.82</v>
      </c>
      <c r="I397" s="18"/>
      <c r="J397" s="24" t="s">
        <v>288</v>
      </c>
      <c r="K397" s="24" t="s">
        <v>288</v>
      </c>
      <c r="L397" s="56">
        <f t="shared" si="26"/>
        <v>20768.82</v>
      </c>
      <c r="M397" s="8"/>
      <c r="N397" s="266"/>
    </row>
    <row r="398" spans="1:14" s="3" customFormat="1" ht="12.2" customHeight="1" x14ac:dyDescent="0.15">
      <c r="A398" s="79" t="s">
        <v>515</v>
      </c>
      <c r="B398" s="2" t="s">
        <v>381</v>
      </c>
      <c r="C398" s="6">
        <v>10</v>
      </c>
      <c r="D398" s="2" t="s">
        <v>432</v>
      </c>
      <c r="E398" s="6"/>
      <c r="F398" s="18"/>
      <c r="G398" s="18">
        <v>20000</v>
      </c>
      <c r="H398" s="18">
        <v>1391.82</v>
      </c>
      <c r="I398" s="18"/>
      <c r="J398" s="24" t="s">
        <v>288</v>
      </c>
      <c r="K398" s="24" t="s">
        <v>288</v>
      </c>
      <c r="L398" s="56">
        <f t="shared" si="26"/>
        <v>21391.82</v>
      </c>
      <c r="M398" s="8"/>
      <c r="N398" s="266"/>
    </row>
    <row r="399" spans="1:14" s="3" customFormat="1" ht="12.2" customHeight="1" x14ac:dyDescent="0.15">
      <c r="A399" s="79" t="s">
        <v>558</v>
      </c>
      <c r="B399" s="2" t="s">
        <v>381</v>
      </c>
      <c r="C399" s="6">
        <v>11</v>
      </c>
      <c r="D399" s="2" t="s">
        <v>432</v>
      </c>
      <c r="E399" s="6"/>
      <c r="F399" s="18"/>
      <c r="G399" s="18">
        <v>20000</v>
      </c>
      <c r="H399" s="18">
        <v>676.49</v>
      </c>
      <c r="I399" s="18"/>
      <c r="J399" s="24" t="s">
        <v>288</v>
      </c>
      <c r="K399" s="24" t="s">
        <v>288</v>
      </c>
      <c r="L399" s="56">
        <f t="shared" si="26"/>
        <v>20676.490000000002</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2837.13</v>
      </c>
      <c r="I402" s="47">
        <f>SUM(I396:I401)</f>
        <v>0</v>
      </c>
      <c r="J402" s="45" t="s">
        <v>288</v>
      </c>
      <c r="K402" s="45" t="s">
        <v>288</v>
      </c>
      <c r="L402" s="47">
        <f>SUM(L396:L401)</f>
        <v>62837.130000000005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60000</v>
      </c>
      <c r="H409" s="47">
        <f>H394+H402+H408</f>
        <v>2837.13</v>
      </c>
      <c r="I409" s="47">
        <f>I394+I402+I408</f>
        <v>0</v>
      </c>
      <c r="J409" s="24" t="s">
        <v>288</v>
      </c>
      <c r="K409" s="24" t="s">
        <v>288</v>
      </c>
      <c r="L409" s="47">
        <f>L394+L402+L408</f>
        <v>62837.130000000005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289260.64</v>
      </c>
      <c r="H443" s="18"/>
      <c r="I443" s="56">
        <f t="shared" si="33"/>
        <v>289260.64</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289260.64</v>
      </c>
      <c r="H447" s="13">
        <f>SUM(H440:H446)</f>
        <v>0</v>
      </c>
      <c r="I447" s="13">
        <f>SUM(I440:I446)</f>
        <v>289260.64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289260.64</v>
      </c>
      <c r="H460" s="18"/>
      <c r="I460" s="56">
        <f t="shared" si="34"/>
        <v>289260.64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289260.64</v>
      </c>
      <c r="H461" s="83">
        <f>SUM(H455:H460)</f>
        <v>0</v>
      </c>
      <c r="I461" s="83">
        <f>SUM(I455:I460)</f>
        <v>289260.64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289260.64</v>
      </c>
      <c r="H462" s="42">
        <f>H453+H461</f>
        <v>0</v>
      </c>
      <c r="I462" s="42">
        <f>I453+I461</f>
        <v>289260.64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298017.49</v>
      </c>
      <c r="G466" s="18">
        <v>474.29</v>
      </c>
      <c r="H466" s="18">
        <v>0</v>
      </c>
      <c r="I466" s="18"/>
      <c r="J466" s="18">
        <v>226423.51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2018221.59</v>
      </c>
      <c r="G469" s="18">
        <v>27691.67</v>
      </c>
      <c r="H469" s="18">
        <v>41775.72</v>
      </c>
      <c r="I469" s="18"/>
      <c r="J469" s="18">
        <v>62837.13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2018221.59</v>
      </c>
      <c r="G471" s="53">
        <f>SUM(G469:G470)</f>
        <v>27691.67</v>
      </c>
      <c r="H471" s="53">
        <f>SUM(H469:H470)</f>
        <v>41775.72</v>
      </c>
      <c r="I471" s="53">
        <f>SUM(I469:I470)</f>
        <v>0</v>
      </c>
      <c r="J471" s="53">
        <f>SUM(J469:J470)</f>
        <v>62837.13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2076955</v>
      </c>
      <c r="G473" s="18">
        <v>27445.99</v>
      </c>
      <c r="H473" s="18">
        <v>41775.72</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2076955</v>
      </c>
      <c r="G475" s="53">
        <f>SUM(G473:G474)</f>
        <v>27445.99</v>
      </c>
      <c r="H475" s="53">
        <f>SUM(H473:H474)</f>
        <v>41775.72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239284.08000000007</v>
      </c>
      <c r="G477" s="53">
        <f>(G466+G471)- G475</f>
        <v>719.96999999999753</v>
      </c>
      <c r="H477" s="53">
        <f>(H466+H471)- H475</f>
        <v>0</v>
      </c>
      <c r="I477" s="53">
        <f>(I466+I471)- I475</f>
        <v>0</v>
      </c>
      <c r="J477" s="53">
        <f>(J466+J471)- J475</f>
        <v>289260.64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74716.149999999994</v>
      </c>
      <c r="G522" s="18">
        <v>40421.43</v>
      </c>
      <c r="H522" s="18">
        <f>17592.5+6</f>
        <v>17598.5</v>
      </c>
      <c r="I522" s="18">
        <v>4455.97</v>
      </c>
      <c r="J522" s="18"/>
      <c r="K522" s="18">
        <v>904</v>
      </c>
      <c r="L522" s="88">
        <f>SUM(F522:K522)</f>
        <v>138096.04999999999</v>
      </c>
      <c r="N522" s="265"/>
    </row>
    <row r="523" spans="1:14" s="52" customFormat="1" ht="12.2" customHeight="1" x14ac:dyDescent="0.2">
      <c r="A523" s="22" t="s">
        <v>634</v>
      </c>
      <c r="B523" s="105">
        <v>21</v>
      </c>
      <c r="C523" s="115">
        <v>2</v>
      </c>
      <c r="D523" s="2" t="s">
        <v>432</v>
      </c>
      <c r="E523" s="115"/>
      <c r="F523" s="18"/>
      <c r="G523" s="18"/>
      <c r="H523" s="18">
        <v>7011.78</v>
      </c>
      <c r="I523" s="18"/>
      <c r="J523" s="18"/>
      <c r="K523" s="18"/>
      <c r="L523" s="88">
        <f>SUM(F523:K523)</f>
        <v>7011.78</v>
      </c>
      <c r="N523" s="265"/>
    </row>
    <row r="524" spans="1:14" s="52" customFormat="1" ht="12.2" customHeight="1" thickBot="1" x14ac:dyDescent="0.25">
      <c r="A524" s="22" t="s">
        <v>635</v>
      </c>
      <c r="B524" s="105">
        <v>21</v>
      </c>
      <c r="C524" s="115">
        <v>3</v>
      </c>
      <c r="D524" s="2" t="s">
        <v>432</v>
      </c>
      <c r="E524" s="115"/>
      <c r="F524" s="18"/>
      <c r="G524" s="18"/>
      <c r="H524" s="18">
        <v>16997</v>
      </c>
      <c r="I524" s="18"/>
      <c r="J524" s="18"/>
      <c r="K524" s="18"/>
      <c r="L524" s="88">
        <f>SUM(F524:K524)</f>
        <v>16997</v>
      </c>
      <c r="N524" s="265"/>
    </row>
    <row r="525" spans="1:14" s="52" customFormat="1" ht="12.2" customHeight="1" thickTop="1" x14ac:dyDescent="0.2">
      <c r="A525" s="139" t="s">
        <v>63</v>
      </c>
      <c r="B525" s="107">
        <v>21</v>
      </c>
      <c r="C525" s="195">
        <v>4</v>
      </c>
      <c r="D525" s="196" t="s">
        <v>432</v>
      </c>
      <c r="E525" s="195"/>
      <c r="F525" s="108">
        <f>SUM(F522:F524)</f>
        <v>74716.149999999994</v>
      </c>
      <c r="G525" s="108">
        <f t="shared" ref="G525:L525" si="36">SUM(G522:G524)</f>
        <v>40421.43</v>
      </c>
      <c r="H525" s="108">
        <f t="shared" si="36"/>
        <v>41607.279999999999</v>
      </c>
      <c r="I525" s="108">
        <f t="shared" si="36"/>
        <v>4455.97</v>
      </c>
      <c r="J525" s="108">
        <f t="shared" si="36"/>
        <v>0</v>
      </c>
      <c r="K525" s="108">
        <f t="shared" si="36"/>
        <v>904</v>
      </c>
      <c r="L525" s="89">
        <f t="shared" si="36"/>
        <v>162104.82999999999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2340+7470+8304.48</f>
        <v>18114.48</v>
      </c>
      <c r="I527" s="18">
        <v>116.05</v>
      </c>
      <c r="J527" s="18"/>
      <c r="K527" s="18"/>
      <c r="L527" s="88">
        <f>SUM(F527:K527)</f>
        <v>18230.53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18114.48</v>
      </c>
      <c r="I530" s="89">
        <f t="shared" si="37"/>
        <v>116.05</v>
      </c>
      <c r="J530" s="89">
        <f t="shared" si="37"/>
        <v>0</v>
      </c>
      <c r="K530" s="89">
        <f t="shared" si="37"/>
        <v>0</v>
      </c>
      <c r="L530" s="89">
        <f t="shared" si="37"/>
        <v>18230.53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v>1110.4000000000001</v>
      </c>
      <c r="I538" s="18"/>
      <c r="J538" s="18"/>
      <c r="K538" s="18"/>
      <c r="L538" s="88">
        <f>SUM(F538:K538)</f>
        <v>1110.4000000000001</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1110.4000000000001</v>
      </c>
      <c r="I540" s="89">
        <f t="shared" si="39"/>
        <v>0</v>
      </c>
      <c r="J540" s="89">
        <f t="shared" si="39"/>
        <v>0</v>
      </c>
      <c r="K540" s="89">
        <f t="shared" si="39"/>
        <v>0</v>
      </c>
      <c r="L540" s="89">
        <f t="shared" si="39"/>
        <v>1110.4000000000001</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85.38</v>
      </c>
      <c r="I542" s="18"/>
      <c r="J542" s="18"/>
      <c r="K542" s="18"/>
      <c r="L542" s="88">
        <f>SUM(F542:K542)</f>
        <v>85.38</v>
      </c>
      <c r="M542" s="8"/>
      <c r="N542" s="266"/>
    </row>
    <row r="543" spans="1:14" s="3" customFormat="1" ht="12.2" customHeight="1" x14ac:dyDescent="0.15">
      <c r="A543" s="22" t="s">
        <v>634</v>
      </c>
      <c r="B543" s="105">
        <v>21</v>
      </c>
      <c r="C543" s="105">
        <v>18</v>
      </c>
      <c r="D543" s="2" t="s">
        <v>432</v>
      </c>
      <c r="E543" s="105"/>
      <c r="F543" s="18"/>
      <c r="G543" s="18"/>
      <c r="H543" s="18">
        <v>7006</v>
      </c>
      <c r="I543" s="18"/>
      <c r="J543" s="18"/>
      <c r="K543" s="18"/>
      <c r="L543" s="88">
        <f>SUM(F543:K543)</f>
        <v>7006</v>
      </c>
      <c r="M543" s="8"/>
      <c r="N543" s="266"/>
    </row>
    <row r="544" spans="1:14" s="3" customFormat="1" ht="12.2" customHeight="1" thickBot="1" x14ac:dyDescent="0.2">
      <c r="A544" s="22" t="s">
        <v>635</v>
      </c>
      <c r="B544" s="105">
        <v>21</v>
      </c>
      <c r="C544" s="105">
        <v>19</v>
      </c>
      <c r="D544" s="2" t="s">
        <v>432</v>
      </c>
      <c r="E544" s="105"/>
      <c r="F544" s="18"/>
      <c r="G544" s="18"/>
      <c r="H544" s="18">
        <v>3120</v>
      </c>
      <c r="I544" s="18"/>
      <c r="J544" s="18"/>
      <c r="K544" s="18"/>
      <c r="L544" s="88">
        <f>SUM(F544:K544)</f>
        <v>3120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10211.380000000001</v>
      </c>
      <c r="I545" s="193">
        <f t="shared" si="40"/>
        <v>0</v>
      </c>
      <c r="J545" s="193">
        <f t="shared" si="40"/>
        <v>0</v>
      </c>
      <c r="K545" s="193">
        <f t="shared" si="40"/>
        <v>0</v>
      </c>
      <c r="L545" s="193">
        <f t="shared" si="40"/>
        <v>10211.380000000001</v>
      </c>
      <c r="M545" s="8"/>
      <c r="N545" s="266"/>
    </row>
    <row r="546" spans="1:14" s="3" customFormat="1" ht="12.2" customHeight="1" thickTop="1" x14ac:dyDescent="0.15">
      <c r="A546" s="98" t="s">
        <v>72</v>
      </c>
      <c r="B546" s="107">
        <v>21</v>
      </c>
      <c r="C546" s="107">
        <v>21</v>
      </c>
      <c r="D546" s="158" t="s">
        <v>432</v>
      </c>
      <c r="E546" s="107"/>
      <c r="F546" s="89">
        <f>F525+F530+F535+F540+F545</f>
        <v>74716.149999999994</v>
      </c>
      <c r="G546" s="89">
        <f t="shared" ref="G546:L546" si="41">G525+G530+G535+G540+G545</f>
        <v>40421.43</v>
      </c>
      <c r="H546" s="89">
        <f t="shared" si="41"/>
        <v>71043.539999999994</v>
      </c>
      <c r="I546" s="89">
        <f t="shared" si="41"/>
        <v>4572.0200000000004</v>
      </c>
      <c r="J546" s="89">
        <f t="shared" si="41"/>
        <v>0</v>
      </c>
      <c r="K546" s="89">
        <f t="shared" si="41"/>
        <v>904</v>
      </c>
      <c r="L546" s="89">
        <f t="shared" si="41"/>
        <v>191657.13999999998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138096.04999999999</v>
      </c>
      <c r="G550" s="87">
        <f>L527</f>
        <v>18230.53</v>
      </c>
      <c r="H550" s="87">
        <f>L532</f>
        <v>0</v>
      </c>
      <c r="I550" s="87">
        <f>L537</f>
        <v>0</v>
      </c>
      <c r="J550" s="87">
        <f>L542</f>
        <v>85.38</v>
      </c>
      <c r="K550" s="87">
        <f>SUM(F550:J550)</f>
        <v>156411.96</v>
      </c>
      <c r="L550" s="24" t="s">
        <v>288</v>
      </c>
      <c r="M550" s="8"/>
      <c r="N550" s="266"/>
    </row>
    <row r="551" spans="1:14" s="3" customFormat="1" ht="12.2" customHeight="1" x14ac:dyDescent="0.15">
      <c r="A551" s="22" t="s">
        <v>634</v>
      </c>
      <c r="B551" s="75">
        <v>21</v>
      </c>
      <c r="C551" s="75">
        <v>23</v>
      </c>
      <c r="D551" s="2" t="s">
        <v>432</v>
      </c>
      <c r="E551" s="75"/>
      <c r="F551" s="87">
        <f>L523</f>
        <v>7011.78</v>
      </c>
      <c r="G551" s="87">
        <f>L528</f>
        <v>0</v>
      </c>
      <c r="H551" s="87">
        <f>L533</f>
        <v>0</v>
      </c>
      <c r="I551" s="87">
        <f>L538</f>
        <v>1110.4000000000001</v>
      </c>
      <c r="J551" s="87">
        <f>L543</f>
        <v>7006</v>
      </c>
      <c r="K551" s="87">
        <f>SUM(F551:J551)</f>
        <v>15128.18</v>
      </c>
      <c r="L551" s="24" t="s">
        <v>288</v>
      </c>
      <c r="M551" s="8"/>
      <c r="N551" s="266"/>
    </row>
    <row r="552" spans="1:14" s="3" customFormat="1" ht="12.2" customHeight="1" thickBot="1" x14ac:dyDescent="0.2">
      <c r="A552" s="22" t="s">
        <v>635</v>
      </c>
      <c r="B552" s="75">
        <v>21</v>
      </c>
      <c r="C552" s="75">
        <v>24</v>
      </c>
      <c r="D552" s="2" t="s">
        <v>432</v>
      </c>
      <c r="E552" s="75"/>
      <c r="F552" s="87">
        <f>L524</f>
        <v>16997</v>
      </c>
      <c r="G552" s="87">
        <f>L529</f>
        <v>0</v>
      </c>
      <c r="H552" s="87">
        <f>L534</f>
        <v>0</v>
      </c>
      <c r="I552" s="87">
        <f>L539</f>
        <v>0</v>
      </c>
      <c r="J552" s="87">
        <f>L544</f>
        <v>3120</v>
      </c>
      <c r="K552" s="87">
        <f>SUM(F552:J552)</f>
        <v>20117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162104.82999999999</v>
      </c>
      <c r="G553" s="89">
        <f t="shared" si="42"/>
        <v>18230.53</v>
      </c>
      <c r="H553" s="89">
        <f t="shared" si="42"/>
        <v>0</v>
      </c>
      <c r="I553" s="89">
        <f t="shared" si="42"/>
        <v>1110.4000000000001</v>
      </c>
      <c r="J553" s="89">
        <f t="shared" si="42"/>
        <v>10211.380000000001</v>
      </c>
      <c r="K553" s="89">
        <f t="shared" si="42"/>
        <v>191657.13999999998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148047.47</v>
      </c>
      <c r="H576" s="18">
        <v>340223.29</v>
      </c>
      <c r="I576" s="87">
        <f>SUM(F576:H576)</f>
        <v>488270.76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v>7011.78</v>
      </c>
      <c r="H580" s="18">
        <v>16997</v>
      </c>
      <c r="I580" s="87">
        <f t="shared" si="47"/>
        <v>24008.78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56505.67</v>
      </c>
      <c r="I592" s="18">
        <v>19775.82</v>
      </c>
      <c r="J592" s="18">
        <v>19775.8</v>
      </c>
      <c r="K592" s="104">
        <f t="shared" ref="K592:K598" si="48">SUM(H592:J592)</f>
        <v>96057.29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85.38</v>
      </c>
      <c r="I593" s="18">
        <v>7006</v>
      </c>
      <c r="J593" s="18">
        <v>3120</v>
      </c>
      <c r="K593" s="104">
        <f t="shared" si="48"/>
        <v>10211.380000000001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1725.63</v>
      </c>
      <c r="I596" s="18"/>
      <c r="J596" s="18"/>
      <c r="K596" s="104">
        <f t="shared" si="48"/>
        <v>1725.63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58316.679999999993</v>
      </c>
      <c r="I599" s="108">
        <f>SUM(I592:I598)</f>
        <v>26781.82</v>
      </c>
      <c r="J599" s="108">
        <f>SUM(J592:J598)</f>
        <v>22895.8</v>
      </c>
      <c r="K599" s="108">
        <f>SUM(K592:K598)</f>
        <v>107994.3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5857.14+6776.5</f>
        <v>12633.64</v>
      </c>
      <c r="I605" s="18"/>
      <c r="J605" s="18"/>
      <c r="K605" s="104">
        <f>SUM(H605:J605)</f>
        <v>12633.64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12633.64</v>
      </c>
      <c r="I606" s="108">
        <f>SUM(I603:I605)</f>
        <v>0</v>
      </c>
      <c r="J606" s="108">
        <f>SUM(J603:J605)</f>
        <v>0</v>
      </c>
      <c r="K606" s="108">
        <f>SUM(K603:K605)</f>
        <v>12633.64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2406.75</v>
      </c>
      <c r="G612" s="18">
        <v>1179.3</v>
      </c>
      <c r="H612" s="18">
        <f>375+8801.29</f>
        <v>9176.2900000000009</v>
      </c>
      <c r="I612" s="18"/>
      <c r="J612" s="18"/>
      <c r="K612" s="18"/>
      <c r="L612" s="88">
        <f>SUM(F612:K612)</f>
        <v>12762.34</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2406.75</v>
      </c>
      <c r="G615" s="108">
        <f t="shared" si="49"/>
        <v>1179.3</v>
      </c>
      <c r="H615" s="108">
        <f t="shared" si="49"/>
        <v>9176.2900000000009</v>
      </c>
      <c r="I615" s="108">
        <f t="shared" si="49"/>
        <v>0</v>
      </c>
      <c r="J615" s="108">
        <f t="shared" si="49"/>
        <v>0</v>
      </c>
      <c r="K615" s="108">
        <f t="shared" si="49"/>
        <v>0</v>
      </c>
      <c r="L615" s="89">
        <f t="shared" si="49"/>
        <v>12762.34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274935.49</v>
      </c>
      <c r="H618" s="109">
        <f>SUM(F52)</f>
        <v>274935.49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1328.0700000000002</v>
      </c>
      <c r="H619" s="109">
        <f>SUM(G52)</f>
        <v>1328.0700000000002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2945.82</v>
      </c>
      <c r="H620" s="109">
        <f>SUM(H52)</f>
        <v>2945.82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289260.64</v>
      </c>
      <c r="H622" s="109">
        <f>SUM(J52)</f>
        <v>289260.64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239284.08000000002</v>
      </c>
      <c r="H623" s="109">
        <f>F477</f>
        <v>239284.08000000007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719.97</v>
      </c>
      <c r="H624" s="109">
        <f>G477</f>
        <v>719.96999999999753</v>
      </c>
      <c r="I624" s="121" t="s">
        <v>102</v>
      </c>
      <c r="J624" s="109">
        <f t="shared" si="50"/>
        <v>2.5011104298755527E-12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289260.64</v>
      </c>
      <c r="H627" s="109">
        <f>J477</f>
        <v>289260.64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2018221.59</v>
      </c>
      <c r="H628" s="104">
        <f>SUM(F469)</f>
        <v>2018221.59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27691.67</v>
      </c>
      <c r="H629" s="104">
        <f>SUM(G469)</f>
        <v>27691.67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41775.72</v>
      </c>
      <c r="H630" s="104">
        <f>SUM(H469)</f>
        <v>41775.72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62837.13</v>
      </c>
      <c r="H632" s="104">
        <f>SUM(J469)</f>
        <v>62837.13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2076955</v>
      </c>
      <c r="H633" s="104">
        <f>SUM(F473)</f>
        <v>2076955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41775.72</v>
      </c>
      <c r="H634" s="104">
        <f>SUM(H473)</f>
        <v>41775.72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15861.18</v>
      </c>
      <c r="H635" s="104">
        <f>I370</f>
        <v>15861.18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27445.989999999998</v>
      </c>
      <c r="H636" s="104">
        <f>SUM(G473)</f>
        <v>27445.99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62837.130000000005</v>
      </c>
      <c r="H638" s="164">
        <f>SUM(J469)</f>
        <v>62837.13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289260.64</v>
      </c>
      <c r="H641" s="104">
        <f>SUM(G462)</f>
        <v>289260.64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289260.64</v>
      </c>
      <c r="H643" s="104">
        <f>SUM(I462)</f>
        <v>289260.64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2837.13</v>
      </c>
      <c r="H645" s="104">
        <f>H409</f>
        <v>2837.13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62837.13</v>
      </c>
      <c r="H647" s="104">
        <f>L409</f>
        <v>62837.130000000005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107994.3</v>
      </c>
      <c r="H648" s="104">
        <f>L209+L227+L245</f>
        <v>107994.3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12633.64</v>
      </c>
      <c r="H649" s="104">
        <f>(J258+J339)-(J256+J337)</f>
        <v>12633.64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58316.68</v>
      </c>
      <c r="H650" s="104">
        <f>H599</f>
        <v>58316.679999999993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26781.82</v>
      </c>
      <c r="H651" s="104">
        <f>I599</f>
        <v>26781.82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22895.8</v>
      </c>
      <c r="H652" s="104">
        <f>J599</f>
        <v>22895.8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13677.83</v>
      </c>
      <c r="H653" s="104">
        <f>K264+K346</f>
        <v>13677.83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1500441.03</v>
      </c>
      <c r="G661" s="19">
        <f>(L230+L310+L360)</f>
        <v>191252.76</v>
      </c>
      <c r="H661" s="19">
        <f>(L248+L329+L361)</f>
        <v>380116.08999999997</v>
      </c>
      <c r="I661" s="19">
        <f>SUM(F661:H661)</f>
        <v>2071809.88</v>
      </c>
      <c r="J661" s="13"/>
      <c r="K661" s="13"/>
      <c r="L661" s="13"/>
      <c r="M661" s="9"/>
    </row>
    <row r="662" spans="1:13" s="3" customFormat="1" ht="12.2" customHeight="1" x14ac:dyDescent="0.2">
      <c r="A662" s="1" t="s">
        <v>127</v>
      </c>
      <c r="F662" s="19">
        <f>(L359/IF(SUM(L359:L361)=0,1,SUM(L359:L361))*(SUM(G97:G110)))</f>
        <v>9105.6299999999992</v>
      </c>
      <c r="G662" s="19">
        <f>(L360/IF(SUM(L359:L361)=0,1,SUM(L359:L361))*(SUM(G97:G110)))</f>
        <v>0</v>
      </c>
      <c r="H662" s="19">
        <f>(L361/IF(SUM(L359:L361)=0,1,SUM(L359:L361))*(SUM(G97:G110)))</f>
        <v>0</v>
      </c>
      <c r="I662" s="19">
        <f>SUM(F662:H662)</f>
        <v>9105.6299999999992</v>
      </c>
      <c r="J662"/>
      <c r="K662" s="13"/>
      <c r="L662" s="13"/>
      <c r="M662" s="8"/>
    </row>
    <row r="663" spans="1:13" s="3" customFormat="1" ht="12.2" customHeight="1" x14ac:dyDescent="0.2">
      <c r="A663" s="1" t="s">
        <v>128</v>
      </c>
      <c r="F663" s="19">
        <f>(L209+L288)-(J209+J288)</f>
        <v>58316.68</v>
      </c>
      <c r="G663" s="19">
        <f>(L227+L307)-(J227+J307)</f>
        <v>26781.82</v>
      </c>
      <c r="H663" s="19">
        <f>(L245+L326)-(J245+J326)</f>
        <v>22895.8</v>
      </c>
      <c r="I663" s="19">
        <f>SUM(F663:H663)</f>
        <v>107994.3</v>
      </c>
      <c r="J663"/>
      <c r="K663" s="13"/>
      <c r="L663" s="13"/>
      <c r="M663" s="9"/>
    </row>
    <row r="664" spans="1:13" s="3" customFormat="1" ht="12.2" customHeight="1" x14ac:dyDescent="0.15">
      <c r="A664" s="198" t="s">
        <v>129</v>
      </c>
      <c r="B664" s="169"/>
      <c r="C664" s="169"/>
      <c r="D664" s="169"/>
      <c r="E664" s="169"/>
      <c r="F664" s="199">
        <f>SUM(F576:F588)+SUM(H603:H605)+SUM(L612)</f>
        <v>25395.98</v>
      </c>
      <c r="G664" s="199">
        <f>SUM(G576:G588)+SUM(I603:I605)+L613</f>
        <v>155059.25</v>
      </c>
      <c r="H664" s="199">
        <f>SUM(H576:H588)+SUM(J603:J605)+L614</f>
        <v>357220.29</v>
      </c>
      <c r="I664" s="19">
        <f>SUM(F664:H664)</f>
        <v>537675.52000000002</v>
      </c>
      <c r="J664" s="13"/>
      <c r="K664" s="13"/>
      <c r="L664" s="13"/>
      <c r="M664" s="9"/>
    </row>
    <row r="665" spans="1:13" s="3" customFormat="1" ht="12.2" customHeight="1" x14ac:dyDescent="0.15">
      <c r="A665" s="1" t="s">
        <v>130</v>
      </c>
      <c r="F665" s="19">
        <f>F661-SUM(F662:F664)</f>
        <v>1407622.74</v>
      </c>
      <c r="G665" s="19">
        <f>G661-SUM(G662:G664)</f>
        <v>9411.6900000000023</v>
      </c>
      <c r="H665" s="19">
        <f>H661-SUM(H662:H664)</f>
        <v>0</v>
      </c>
      <c r="I665" s="19">
        <f>I661-SUM(I662:I664)</f>
        <v>1417034.4299999997</v>
      </c>
      <c r="J665" s="13"/>
      <c r="K665" s="13"/>
      <c r="L665" s="13"/>
      <c r="M665" s="8"/>
    </row>
    <row r="666" spans="1:13" s="3" customFormat="1" ht="12.2" customHeight="1" x14ac:dyDescent="0.2">
      <c r="A666" s="1" t="s">
        <v>131</v>
      </c>
      <c r="F666" s="246">
        <v>48.67</v>
      </c>
      <c r="G666" s="247"/>
      <c r="H666" s="247"/>
      <c r="I666" s="19">
        <f>SUM(F666:H666)</f>
        <v>48.67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28921.77</v>
      </c>
      <c r="G668" s="19" t="e">
        <f>ROUND(G665/G666,2)</f>
        <v>#DIV/0!</v>
      </c>
      <c r="H668" s="19" t="e">
        <f>ROUND(H665/H666,2)</f>
        <v>#DIV/0!</v>
      </c>
      <c r="I668" s="19">
        <f>ROUND(I665/I666,2)</f>
        <v>29115.15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-9411.69</v>
      </c>
      <c r="H670" s="18"/>
      <c r="I670" s="19">
        <f>SUM(F670:H670)</f>
        <v>-9411.69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28921.77</v>
      </c>
      <c r="G673" s="19" t="e">
        <f>ROUND((G665+G670)/(G666+G671),2)</f>
        <v>#DIV/0!</v>
      </c>
      <c r="H673" s="19" t="e">
        <f>ROUND((H665+H670)/(H666+H671),2)</f>
        <v>#DIV/0!</v>
      </c>
      <c r="I673" s="19">
        <f>ROUND((I665+I670)/(I666+I671),2)</f>
        <v>28921.77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NEWINGTON SCHOOL DISTRICT</v>
      </c>
      <c r="C5" s="344"/>
      <c r="D5" s="344"/>
      <c r="E5" s="344"/>
      <c r="F5" s="344"/>
    </row>
    <row r="8" spans="1:9" ht="18" x14ac:dyDescent="0.25">
      <c r="A8" s="323" t="s">
        <v>1591</v>
      </c>
      <c r="F8" s="330" t="s">
        <v>1609</v>
      </c>
    </row>
    <row r="9" spans="1:9" ht="15" x14ac:dyDescent="0.2">
      <c r="A9" s="321" t="s">
        <v>1592</v>
      </c>
      <c r="B9" s="324">
        <f>'DOE25'!G97</f>
        <v>9105.6299999999992</v>
      </c>
      <c r="F9" s="321" t="s">
        <v>1605</v>
      </c>
    </row>
    <row r="10" spans="1:9" ht="15" x14ac:dyDescent="0.2">
      <c r="A10" s="321" t="s">
        <v>1593</v>
      </c>
      <c r="B10" s="324">
        <f>'DOE25'!G112-'DOE25'!G97</f>
        <v>25.020000000000437</v>
      </c>
      <c r="F10" s="321" t="s">
        <v>1606</v>
      </c>
    </row>
    <row r="11" spans="1:9" ht="15" x14ac:dyDescent="0.2">
      <c r="A11" s="321" t="s">
        <v>1594</v>
      </c>
      <c r="B11" s="324">
        <f>'DOE25'!G140</f>
        <v>0</v>
      </c>
      <c r="F11" s="321" t="s">
        <v>1607</v>
      </c>
    </row>
    <row r="12" spans="1:9" ht="15" x14ac:dyDescent="0.2">
      <c r="A12" s="321" t="s">
        <v>1595</v>
      </c>
      <c r="B12" s="324">
        <f>'DOE25'!G170</f>
        <v>4883.1899999999996</v>
      </c>
      <c r="F12" s="321" t="s">
        <v>1608</v>
      </c>
    </row>
    <row r="13" spans="1:9" ht="15" x14ac:dyDescent="0.2">
      <c r="A13" s="321" t="s">
        <v>1596</v>
      </c>
      <c r="B13" s="324">
        <f>'DOE25'!G193-'DOE25'!G180</f>
        <v>0</v>
      </c>
      <c r="F13" s="321" t="s">
        <v>1618</v>
      </c>
    </row>
    <row r="14" spans="1:9" ht="18" x14ac:dyDescent="0.25">
      <c r="A14" s="323" t="s">
        <v>732</v>
      </c>
      <c r="B14" s="325">
        <f>SUM(B9:B13)</f>
        <v>14013.84</v>
      </c>
    </row>
    <row r="16" spans="1:9" ht="18" x14ac:dyDescent="0.25">
      <c r="A16" s="323" t="s">
        <v>786</v>
      </c>
      <c r="F16" s="330" t="s">
        <v>1610</v>
      </c>
    </row>
    <row r="17" spans="1:6" ht="15" x14ac:dyDescent="0.2">
      <c r="A17" s="321" t="s">
        <v>1597</v>
      </c>
      <c r="B17" s="324">
        <f>'DOE25'!L363-'DOE25'!L362</f>
        <v>27445.989999999998</v>
      </c>
      <c r="F17" s="321" t="s">
        <v>1611</v>
      </c>
    </row>
    <row r="18" spans="1:6" ht="15" x14ac:dyDescent="0.2">
      <c r="A18" s="321" t="s">
        <v>1598</v>
      </c>
      <c r="B18" s="338"/>
      <c r="F18" s="330" t="s">
        <v>1637</v>
      </c>
    </row>
    <row r="19" spans="1:6" ht="18" x14ac:dyDescent="0.25">
      <c r="A19" s="323" t="s">
        <v>725</v>
      </c>
      <c r="B19" s="325">
        <f>SUM(B17:B18)</f>
        <v>27445.989999999998</v>
      </c>
    </row>
    <row r="21" spans="1:6" ht="18.75" thickBot="1" x14ac:dyDescent="0.3">
      <c r="A21" s="323" t="s">
        <v>1599</v>
      </c>
    </row>
    <row r="22" spans="1:6" ht="18.75" thickTop="1" x14ac:dyDescent="0.25">
      <c r="A22" s="323" t="s">
        <v>1600</v>
      </c>
      <c r="B22" s="329">
        <f>B14-B19</f>
        <v>-13432.149999999998</v>
      </c>
      <c r="F22" s="321" t="s">
        <v>1612</v>
      </c>
    </row>
    <row r="26" spans="1:6" ht="18" x14ac:dyDescent="0.25">
      <c r="A26" s="323" t="s">
        <v>186</v>
      </c>
    </row>
    <row r="27" spans="1:6" ht="15" x14ac:dyDescent="0.2">
      <c r="A27" s="321" t="s">
        <v>1601</v>
      </c>
      <c r="B27" s="324">
        <f>'DOE25'!G180</f>
        <v>13677.83</v>
      </c>
      <c r="F27" s="321" t="s">
        <v>1613</v>
      </c>
    </row>
    <row r="28" spans="1:6" ht="15" x14ac:dyDescent="0.2">
      <c r="A28" s="321" t="s">
        <v>1603</v>
      </c>
      <c r="B28" s="324">
        <f>'DOE25'!L362</f>
        <v>0</v>
      </c>
      <c r="F28" s="321" t="s">
        <v>1614</v>
      </c>
    </row>
    <row r="31" spans="1:6" ht="15" x14ac:dyDescent="0.2">
      <c r="A31" s="321" t="s">
        <v>1640</v>
      </c>
      <c r="B31" s="324">
        <f>'DOE25'!G466</f>
        <v>474.29</v>
      </c>
      <c r="F31" s="321" t="s">
        <v>1615</v>
      </c>
    </row>
    <row r="33" spans="1:6" ht="15" x14ac:dyDescent="0.2">
      <c r="A33" s="321" t="s">
        <v>1641</v>
      </c>
      <c r="B33" s="324">
        <f>'DOE25'!G477</f>
        <v>719.96999999999753</v>
      </c>
      <c r="F33" s="321" t="s">
        <v>1616</v>
      </c>
    </row>
    <row r="36" spans="1:6" ht="15" x14ac:dyDescent="0.2">
      <c r="A36" s="321" t="s">
        <v>1602</v>
      </c>
      <c r="B36" s="339">
        <v>0</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NEWINGTON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367399.39</v>
      </c>
      <c r="C9" s="229">
        <f>'DOE25'!G198+'DOE25'!G216+'DOE25'!G234+'DOE25'!G277+'DOE25'!G296+'DOE25'!G315</f>
        <v>182578.68</v>
      </c>
    </row>
    <row r="10" spans="1:3" x14ac:dyDescent="0.2">
      <c r="A10" t="s">
        <v>775</v>
      </c>
      <c r="B10" s="240">
        <v>345992.9</v>
      </c>
      <c r="C10" s="240">
        <v>171884.34</v>
      </c>
    </row>
    <row r="11" spans="1:3" x14ac:dyDescent="0.2">
      <c r="A11" t="s">
        <v>776</v>
      </c>
      <c r="B11" s="240">
        <v>20830.3</v>
      </c>
      <c r="C11" s="240">
        <v>10348.459999999999</v>
      </c>
    </row>
    <row r="12" spans="1:3" x14ac:dyDescent="0.2">
      <c r="A12" t="s">
        <v>777</v>
      </c>
      <c r="B12" s="240">
        <v>576.19000000000005</v>
      </c>
      <c r="C12" s="240">
        <v>345.88</v>
      </c>
    </row>
    <row r="13" spans="1:3" x14ac:dyDescent="0.2">
      <c r="A13" t="str">
        <f>IF(B9=B13,IF(C9=C13,"Check Total OK","Check Total Error"),"Check Total Error")</f>
        <v>Check Total OK</v>
      </c>
      <c r="B13" s="231">
        <f>SUM(B10:B12)</f>
        <v>367399.39</v>
      </c>
      <c r="C13" s="231">
        <f>SUM(C10:C12)</f>
        <v>182578.68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92267.17</v>
      </c>
      <c r="C18" s="229">
        <f>'DOE25'!G199+'DOE25'!G217+'DOE25'!G235+'DOE25'!G278+'DOE25'!G297+'DOE25'!G316</f>
        <v>40655.449999999997</v>
      </c>
    </row>
    <row r="19" spans="1:3" x14ac:dyDescent="0.2">
      <c r="A19" t="s">
        <v>775</v>
      </c>
      <c r="B19" s="240">
        <v>68018.429999999993</v>
      </c>
      <c r="C19" s="240">
        <v>28161.599999999999</v>
      </c>
    </row>
    <row r="20" spans="1:3" x14ac:dyDescent="0.2">
      <c r="A20" t="s">
        <v>776</v>
      </c>
      <c r="B20" s="240">
        <v>24248.74</v>
      </c>
      <c r="C20" s="240">
        <v>12493.85</v>
      </c>
    </row>
    <row r="21" spans="1:3" x14ac:dyDescent="0.2">
      <c r="A21" t="s">
        <v>777</v>
      </c>
      <c r="B21" s="240"/>
      <c r="C21" s="240"/>
    </row>
    <row r="22" spans="1:3" x14ac:dyDescent="0.2">
      <c r="A22" t="str">
        <f>IF(B18=B22,IF(C18=C22,"Check Total OK","Check Total Error"),"Check Total Error")</f>
        <v>Check Total OK</v>
      </c>
      <c r="B22" s="231">
        <f>SUM(B19:B21)</f>
        <v>92267.17</v>
      </c>
      <c r="C22" s="231">
        <f>SUM(C19:C21)</f>
        <v>40655.449999999997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8288.75</v>
      </c>
      <c r="C36" s="235">
        <f>'DOE25'!G201+'DOE25'!G219+'DOE25'!G237+'DOE25'!G280+'DOE25'!G299+'DOE25'!G318</f>
        <v>4120.22</v>
      </c>
    </row>
    <row r="37" spans="1:3" x14ac:dyDescent="0.2">
      <c r="A37" t="s">
        <v>775</v>
      </c>
      <c r="B37" s="240">
        <v>362.5</v>
      </c>
      <c r="C37" s="240">
        <v>180.19</v>
      </c>
    </row>
    <row r="38" spans="1:3" x14ac:dyDescent="0.2">
      <c r="A38" t="s">
        <v>776</v>
      </c>
      <c r="B38" s="240">
        <v>2044.25</v>
      </c>
      <c r="C38" s="240">
        <v>1016.17</v>
      </c>
    </row>
    <row r="39" spans="1:3" x14ac:dyDescent="0.2">
      <c r="A39" t="s">
        <v>777</v>
      </c>
      <c r="B39" s="240">
        <v>5882</v>
      </c>
      <c r="C39" s="240">
        <v>2923.86</v>
      </c>
    </row>
    <row r="40" spans="1:3" x14ac:dyDescent="0.2">
      <c r="A40" t="str">
        <f>IF(B36=B40,IF(C36=C40,"Check Total OK","Check Total Error"),"Check Total Error")</f>
        <v>Check Total OK</v>
      </c>
      <c r="B40" s="231">
        <f>SUM(B37:B39)</f>
        <v>8288.75</v>
      </c>
      <c r="C40" s="231">
        <f>SUM(C37:C39)</f>
        <v>4120.22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H13" sqref="H1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NEWINGTON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1241260.49</v>
      </c>
      <c r="D5" s="20">
        <f>SUM('DOE25'!L198:L201)+SUM('DOE25'!L216:L219)+SUM('DOE25'!L234:L237)-F5-G5-H5</f>
        <v>1239487.52</v>
      </c>
      <c r="E5" s="243"/>
      <c r="F5" s="244"/>
      <c r="G5" s="53">
        <f>SUM('DOE25'!J198:J201)+SUM('DOE25'!J216:J219)+SUM('DOE25'!J234:J237)</f>
        <v>868.97</v>
      </c>
      <c r="H5" s="53">
        <f>SUM('DOE25'!K198:K201)+SUM('DOE25'!K216:K219)+SUM('DOE25'!K234:K237)</f>
        <v>904</v>
      </c>
      <c r="I5" s="256"/>
    </row>
    <row r="6" spans="1:9" x14ac:dyDescent="0.2">
      <c r="A6" s="32">
        <v>2100</v>
      </c>
      <c r="B6" t="s">
        <v>796</v>
      </c>
      <c r="C6" s="276">
        <f t="shared" si="0"/>
        <v>49761.64</v>
      </c>
      <c r="D6" s="20">
        <f>'DOE25'!L203+'DOE25'!L221+'DOE25'!L239-F6-G6-H6</f>
        <v>49761.64</v>
      </c>
      <c r="E6" s="243"/>
      <c r="F6" s="244"/>
      <c r="G6" s="53">
        <f>'DOE25'!J203+'DOE25'!J221+'DOE25'!J239</f>
        <v>0</v>
      </c>
      <c r="H6" s="53">
        <f>'DOE25'!K203+'DOE25'!K221+'DOE25'!K239</f>
        <v>0</v>
      </c>
      <c r="I6" s="256"/>
    </row>
    <row r="7" spans="1:9" x14ac:dyDescent="0.2">
      <c r="A7" s="32">
        <v>2200</v>
      </c>
      <c r="B7" t="s">
        <v>821</v>
      </c>
      <c r="C7" s="276">
        <f t="shared" si="0"/>
        <v>32144.67</v>
      </c>
      <c r="D7" s="20">
        <f>'DOE25'!L204+'DOE25'!L222+'DOE25'!L240-F7-G7-H7</f>
        <v>27028.5</v>
      </c>
      <c r="E7" s="243"/>
      <c r="F7" s="244"/>
      <c r="G7" s="53">
        <f>'DOE25'!J204+'DOE25'!J222+'DOE25'!J240</f>
        <v>4988.17</v>
      </c>
      <c r="H7" s="53">
        <f>'DOE25'!K204+'DOE25'!K222+'DOE25'!K240</f>
        <v>128</v>
      </c>
      <c r="I7" s="256"/>
    </row>
    <row r="8" spans="1:9" x14ac:dyDescent="0.2">
      <c r="A8" s="32">
        <v>2300</v>
      </c>
      <c r="B8" t="s">
        <v>797</v>
      </c>
      <c r="C8" s="276">
        <f t="shared" si="0"/>
        <v>66581.719999999987</v>
      </c>
      <c r="D8" s="243"/>
      <c r="E8" s="20">
        <f>'DOE25'!L205+'DOE25'!L223+'DOE25'!L241-F8-G8-H8-D9-D11</f>
        <v>63363.489999999991</v>
      </c>
      <c r="F8" s="244"/>
      <c r="G8" s="53">
        <f>'DOE25'!J205+'DOE25'!J223+'DOE25'!J241</f>
        <v>0</v>
      </c>
      <c r="H8" s="53">
        <f>'DOE25'!K205+'DOE25'!K223+'DOE25'!K241</f>
        <v>3218.23</v>
      </c>
      <c r="I8" s="256"/>
    </row>
    <row r="9" spans="1:9" ht="14.25" x14ac:dyDescent="0.2">
      <c r="A9" s="32">
        <v>2310</v>
      </c>
      <c r="B9" s="185" t="s">
        <v>890</v>
      </c>
      <c r="C9" s="276">
        <f t="shared" si="0"/>
        <v>33416.39</v>
      </c>
      <c r="D9" s="244">
        <v>33416.39</v>
      </c>
      <c r="E9" s="243"/>
      <c r="F9" s="253"/>
      <c r="G9" s="253"/>
      <c r="H9" s="253"/>
      <c r="I9" s="256"/>
    </row>
    <row r="10" spans="1:9" ht="14.25" x14ac:dyDescent="0.2">
      <c r="A10" s="32">
        <v>2317</v>
      </c>
      <c r="B10" s="185" t="s">
        <v>891</v>
      </c>
      <c r="C10" s="276">
        <f t="shared" si="0"/>
        <v>18428</v>
      </c>
      <c r="D10" s="243"/>
      <c r="E10" s="244">
        <v>18428</v>
      </c>
      <c r="F10" s="253"/>
      <c r="G10" s="253"/>
      <c r="H10" s="253"/>
      <c r="I10" s="256"/>
    </row>
    <row r="11" spans="1:9" ht="14.25" x14ac:dyDescent="0.2">
      <c r="A11" s="32">
        <v>2321</v>
      </c>
      <c r="B11" s="185" t="s">
        <v>892</v>
      </c>
      <c r="C11" s="276">
        <f t="shared" si="0"/>
        <v>137505.06</v>
      </c>
      <c r="D11" s="244">
        <v>137505.06</v>
      </c>
      <c r="E11" s="243"/>
      <c r="F11" s="253"/>
      <c r="G11" s="253"/>
      <c r="H11" s="253"/>
      <c r="I11" s="256"/>
    </row>
    <row r="12" spans="1:9" x14ac:dyDescent="0.2">
      <c r="A12" s="32">
        <v>2400</v>
      </c>
      <c r="B12" t="s">
        <v>711</v>
      </c>
      <c r="C12" s="276">
        <f t="shared" si="0"/>
        <v>195451.77000000002</v>
      </c>
      <c r="D12" s="20">
        <f>'DOE25'!L206+'DOE25'!L224+'DOE25'!L242-F12-G12-H12</f>
        <v>194656.77000000002</v>
      </c>
      <c r="E12" s="243"/>
      <c r="F12" s="244"/>
      <c r="G12" s="53">
        <f>'DOE25'!J206+'DOE25'!J224+'DOE25'!J242</f>
        <v>0</v>
      </c>
      <c r="H12" s="53">
        <f>'DOE25'!K206+'DOE25'!K224+'DOE25'!K242</f>
        <v>795</v>
      </c>
      <c r="I12" s="256"/>
    </row>
    <row r="13" spans="1:9" x14ac:dyDescent="0.2">
      <c r="A13" s="32">
        <v>2500</v>
      </c>
      <c r="B13" t="s">
        <v>798</v>
      </c>
      <c r="C13" s="276">
        <f t="shared" si="0"/>
        <v>0</v>
      </c>
      <c r="D13" s="243"/>
      <c r="E13" s="20">
        <f>'DOE25'!L207+'DOE25'!L225+'DOE25'!L243-F13-G13-H13</f>
        <v>0</v>
      </c>
      <c r="F13" s="244"/>
      <c r="G13" s="53">
        <f>'DOE25'!J207+'DOE25'!J225+'DOE25'!J243</f>
        <v>0</v>
      </c>
      <c r="H13" s="53">
        <v>0</v>
      </c>
      <c r="I13" s="256"/>
    </row>
    <row r="14" spans="1:9" x14ac:dyDescent="0.2">
      <c r="A14" s="32">
        <v>2600</v>
      </c>
      <c r="B14" t="s">
        <v>819</v>
      </c>
      <c r="C14" s="276">
        <f t="shared" si="0"/>
        <v>135223.74</v>
      </c>
      <c r="D14" s="20">
        <f>'DOE25'!L208+'DOE25'!L226+'DOE25'!L244-F14-G14-H14</f>
        <v>128535.01999999999</v>
      </c>
      <c r="E14" s="243"/>
      <c r="F14" s="244">
        <f>31688.72-25000</f>
        <v>6688.7200000000012</v>
      </c>
      <c r="G14" s="53">
        <f>'DOE25'!J208+'DOE25'!J226+'DOE25'!J244</f>
        <v>0</v>
      </c>
      <c r="H14" s="53">
        <f>'DOE25'!K208+'DOE25'!K226+'DOE25'!K244</f>
        <v>0</v>
      </c>
      <c r="I14" s="256"/>
    </row>
    <row r="15" spans="1:9" x14ac:dyDescent="0.2">
      <c r="A15" s="32">
        <v>2700</v>
      </c>
      <c r="B15" t="s">
        <v>799</v>
      </c>
      <c r="C15" s="276">
        <f t="shared" si="0"/>
        <v>107994.3</v>
      </c>
      <c r="D15" s="20">
        <f>'DOE25'!L209+'DOE25'!L227+'DOE25'!L245-F15-G15-H15</f>
        <v>35211.380000000005</v>
      </c>
      <c r="E15" s="243"/>
      <c r="F15" s="244">
        <f>97782.92-25000</f>
        <v>72782.92</v>
      </c>
      <c r="G15" s="53">
        <f>'DOE25'!J209+'DOE25'!J227+'DOE25'!J245</f>
        <v>0</v>
      </c>
      <c r="H15" s="53">
        <f>'DOE25'!K209+'DOE25'!K227+'DOE25'!K245</f>
        <v>0</v>
      </c>
      <c r="I15" s="256"/>
    </row>
    <row r="16" spans="1:9" x14ac:dyDescent="0.2">
      <c r="A16" s="32">
        <v>2800</v>
      </c>
      <c r="B16" t="s">
        <v>800</v>
      </c>
      <c r="C16" s="276">
        <f t="shared" si="0"/>
        <v>3248.39</v>
      </c>
      <c r="D16" s="243"/>
      <c r="E16" s="20">
        <f>'DOE25'!L210+'DOE25'!L228+'DOE25'!L246-F16-G16-H16</f>
        <v>3248.39</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689</v>
      </c>
      <c r="D22" s="243"/>
      <c r="E22" s="243"/>
      <c r="F22" s="243"/>
      <c r="G22" s="53">
        <f>'DOE25'!L256+'DOE25'!L337</f>
        <v>689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13314.319999999998</v>
      </c>
      <c r="D29" s="284">
        <f>'DOE25'!L359+'DOE25'!L360+'DOE25'!L361-'DOE25'!I368-F29-G29-H29</f>
        <v>13314.319999999998</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41775.72</v>
      </c>
      <c r="D31" s="20">
        <f>'DOE25'!L291+'DOE25'!L310+'DOE25'!L329+'DOE25'!L334+'DOE25'!L335+'DOE25'!L336-F31-G31-H31</f>
        <v>34999.22</v>
      </c>
      <c r="E31" s="243"/>
      <c r="F31" s="244"/>
      <c r="G31" s="53">
        <f>'DOE25'!J291+'DOE25'!J310+'DOE25'!J329+'DOE25'!J334+'DOE25'!J335+'DOE25'!J336</f>
        <v>6776.5</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1893915.8199999998</v>
      </c>
      <c r="E33" s="245">
        <f t="shared" si="1"/>
        <v>85039.87999999999</v>
      </c>
      <c r="F33" s="245">
        <f t="shared" si="1"/>
        <v>79471.64</v>
      </c>
      <c r="G33" s="245">
        <f t="shared" si="1"/>
        <v>13322.64</v>
      </c>
      <c r="H33" s="245">
        <f t="shared" si="1"/>
        <v>5045.2299999999996</v>
      </c>
      <c r="I33" s="245">
        <f t="shared" si="1"/>
        <v>0</v>
      </c>
    </row>
    <row r="35" spans="1:9" ht="12" thickBot="1" x14ac:dyDescent="0.25">
      <c r="B35" s="251" t="s">
        <v>831</v>
      </c>
      <c r="D35" s="252">
        <f>E33</f>
        <v>85039.87999999999</v>
      </c>
      <c r="E35" s="248"/>
    </row>
    <row r="36" spans="1:9" ht="12" thickTop="1" x14ac:dyDescent="0.2">
      <c r="B36" t="s">
        <v>810</v>
      </c>
      <c r="D36" s="20">
        <f>D33</f>
        <v>1893915.8199999998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3" sqref="A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NEWINGTON SCHOOL DISTRICT</v>
      </c>
      <c r="B2" s="126">
        <f>'DOE25'!B2</f>
        <v>391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1472995.04</v>
      </c>
      <c r="G4" s="303">
        <f>'DOE25'!L212+'DOE25'!L291</f>
        <v>1472995.04</v>
      </c>
      <c r="H4" s="337">
        <f>F4-G4</f>
        <v>0</v>
      </c>
      <c r="I4" s="309" t="str">
        <f>IF(H4=0,"","Does not match DOE25 page 7 and 11 Totals!!")</f>
        <v/>
      </c>
      <c r="N4"/>
    </row>
    <row r="5" spans="1:18" x14ac:dyDescent="0.2">
      <c r="A5" s="21" t="s">
        <v>1322</v>
      </c>
      <c r="B5" s="304">
        <f>IFERROR(VLOOKUP(A5,'School Tables'!$C$3:$D$365,2,FALSE),"")</f>
        <v>22465</v>
      </c>
      <c r="C5" s="297" t="str">
        <f>IFERROR(INDEX('School Tables'!$B$3:$B$365,MATCH('School Level Expenditures'!B5,'School Tables'!$D$3:$D$365,0)),"")</f>
        <v>Newington</v>
      </c>
      <c r="D5" s="294">
        <v>1432219.32</v>
      </c>
      <c r="E5" s="294">
        <v>40775.72</v>
      </c>
      <c r="F5" s="312">
        <f>D5+E5</f>
        <v>1472995.04</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191252.76</v>
      </c>
      <c r="G24" s="303">
        <f>'DOE25'!L230+'DOE25'!L310</f>
        <v>191252.76</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191252.76</v>
      </c>
      <c r="E25" s="294"/>
      <c r="F25" s="307">
        <f>D25+E25</f>
        <v>191252.76</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380116.09</v>
      </c>
      <c r="G36" s="303">
        <f>'DOE25'!L248+'DOE25'!L329</f>
        <v>380116.08999999997</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380116.09</v>
      </c>
      <c r="E37" s="294"/>
      <c r="F37" s="307">
        <f>D37+E37</f>
        <v>380116.09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274575.67</v>
      </c>
      <c r="D8" s="95">
        <f>'DOE25'!G9</f>
        <v>51.1</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525.30999999999995</v>
      </c>
      <c r="E11" s="95">
        <f>'DOE25'!H12</f>
        <v>2476.02</v>
      </c>
      <c r="F11" s="95">
        <f>'DOE25'!I12</f>
        <v>0</v>
      </c>
      <c r="G11" s="95">
        <f>'DOE25'!J12</f>
        <v>0</v>
      </c>
      <c r="H11" s="124"/>
      <c r="I11" s="124"/>
    </row>
    <row r="12" spans="1:9" x14ac:dyDescent="0.2">
      <c r="A12" s="1" t="s">
        <v>143</v>
      </c>
      <c r="B12" s="6">
        <v>140</v>
      </c>
      <c r="C12" s="95">
        <f>'DOE25'!F13</f>
        <v>0</v>
      </c>
      <c r="D12" s="95">
        <f>'DOE25'!G13</f>
        <v>27.84</v>
      </c>
      <c r="E12" s="95">
        <f>'DOE25'!H13</f>
        <v>469.8</v>
      </c>
      <c r="F12" s="95">
        <f>'DOE25'!I13</f>
        <v>0</v>
      </c>
      <c r="G12" s="95">
        <f>'DOE25'!J13</f>
        <v>289260.64</v>
      </c>
      <c r="H12" s="124"/>
      <c r="I12" s="124"/>
    </row>
    <row r="13" spans="1:9" x14ac:dyDescent="0.2">
      <c r="A13" s="1" t="s">
        <v>144</v>
      </c>
      <c r="B13" s="6">
        <v>150</v>
      </c>
      <c r="C13" s="95">
        <f>'DOE25'!F14</f>
        <v>359.82</v>
      </c>
      <c r="D13" s="95">
        <f>'DOE25'!G14</f>
        <v>3.85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719.97</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274935.49</v>
      </c>
      <c r="D18" s="41">
        <f>SUM(D8:D17)</f>
        <v>1328.0700000000002</v>
      </c>
      <c r="E18" s="41">
        <f>SUM(E8:E17)</f>
        <v>2945.82</v>
      </c>
      <c r="F18" s="41">
        <f>SUM(F8:F17)</f>
        <v>0</v>
      </c>
      <c r="G18" s="41">
        <f>SUM(G8:G17)</f>
        <v>289260.64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3001.33</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608.1</v>
      </c>
      <c r="E23" s="95">
        <f>'DOE25'!H24</f>
        <v>2945.82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32650.080000000002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35651.410000000003</v>
      </c>
      <c r="D31" s="41">
        <f>SUM(D21:D30)</f>
        <v>608.1</v>
      </c>
      <c r="E31" s="41">
        <f>SUM(E21:E30)</f>
        <v>2945.82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719.97</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48667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289260.64</v>
      </c>
      <c r="H47" s="124"/>
      <c r="I47" s="124"/>
    </row>
    <row r="48" spans="1:9" x14ac:dyDescent="0.2">
      <c r="A48" s="1" t="s">
        <v>882</v>
      </c>
      <c r="B48" s="6">
        <v>753</v>
      </c>
      <c r="C48" s="95">
        <f>'DOE25'!F49</f>
        <v>2662.98</v>
      </c>
      <c r="D48" s="95">
        <f>'DOE25'!G49</f>
        <v>0</v>
      </c>
      <c r="E48" s="95">
        <f>'DOE25'!H49</f>
        <v>0</v>
      </c>
      <c r="F48" s="95">
        <f>'DOE25'!I49</f>
        <v>0</v>
      </c>
      <c r="G48" s="95">
        <f>'DOE25'!J49</f>
        <v>0</v>
      </c>
      <c r="H48" s="124"/>
      <c r="I48" s="124"/>
    </row>
    <row r="49" spans="1:9" ht="12" thickBot="1" x14ac:dyDescent="0.25">
      <c r="A49" s="29" t="s">
        <v>883</v>
      </c>
      <c r="B49" s="71">
        <v>770</v>
      </c>
      <c r="C49" s="95">
        <f>'DOE25'!F50</f>
        <v>167954.1</v>
      </c>
      <c r="D49" s="24" t="s">
        <v>288</v>
      </c>
      <c r="E49" s="24" t="s">
        <v>288</v>
      </c>
      <c r="F49" s="24" t="s">
        <v>288</v>
      </c>
      <c r="G49" s="24" t="s">
        <v>288</v>
      </c>
      <c r="H49" s="124"/>
      <c r="I49" s="124"/>
    </row>
    <row r="50" spans="1:9" ht="12.75" thickTop="1" thickBot="1" x14ac:dyDescent="0.25">
      <c r="A50" s="38" t="s">
        <v>884</v>
      </c>
      <c r="B50" s="48"/>
      <c r="C50" s="41">
        <f>SUM(C34:C49)</f>
        <v>239284.08000000002</v>
      </c>
      <c r="D50" s="41">
        <f>SUM(D34:D49)</f>
        <v>719.97</v>
      </c>
      <c r="E50" s="41">
        <f>SUM(E34:E49)</f>
        <v>0</v>
      </c>
      <c r="F50" s="41">
        <f>SUM(F34:F49)</f>
        <v>0</v>
      </c>
      <c r="G50" s="41">
        <f>SUM(G34:G49)</f>
        <v>289260.64</v>
      </c>
      <c r="H50" s="124"/>
      <c r="I50" s="124"/>
    </row>
    <row r="51" spans="1:9" ht="12" thickTop="1" x14ac:dyDescent="0.2">
      <c r="A51" s="38" t="s">
        <v>885</v>
      </c>
      <c r="B51" s="2"/>
      <c r="C51" s="41">
        <f>C50+C31</f>
        <v>274935.49</v>
      </c>
      <c r="D51" s="41">
        <f>D50+D31</f>
        <v>1328.0700000000002</v>
      </c>
      <c r="E51" s="41">
        <f>E50+E31</f>
        <v>2945.82</v>
      </c>
      <c r="F51" s="41">
        <f>F50+F31</f>
        <v>0</v>
      </c>
      <c r="G51" s="41">
        <f>G50+G31</f>
        <v>289260.64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695663</v>
      </c>
      <c r="D56" s="95">
        <f>'DOE25'!G60</f>
        <v>0</v>
      </c>
      <c r="E56" s="95">
        <f>'DOE25'!H60</f>
        <v>0</v>
      </c>
      <c r="F56" s="95">
        <f>'DOE25'!I60</f>
        <v>0</v>
      </c>
      <c r="G56" s="95">
        <f>'DOE25'!J60</f>
        <v>0</v>
      </c>
      <c r="H56"/>
      <c r="I56"/>
    </row>
    <row r="57" spans="1:9" x14ac:dyDescent="0.2">
      <c r="A57" s="1" t="s">
        <v>164</v>
      </c>
      <c r="B57" s="6" t="s">
        <v>165</v>
      </c>
      <c r="C57" s="95">
        <f>'DOE25'!F79</f>
        <v>37828.5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5307.03</v>
      </c>
      <c r="D59" s="95">
        <f>'DOE25'!G96</f>
        <v>25.02</v>
      </c>
      <c r="E59" s="95">
        <f>'DOE25'!H96</f>
        <v>0</v>
      </c>
      <c r="F59" s="95">
        <f>'DOE25'!I96</f>
        <v>0</v>
      </c>
      <c r="G59" s="95">
        <f>'DOE25'!J96</f>
        <v>2837.13</v>
      </c>
      <c r="H59"/>
      <c r="I59"/>
    </row>
    <row r="60" spans="1:9" x14ac:dyDescent="0.2">
      <c r="A60" s="1" t="s">
        <v>170</v>
      </c>
      <c r="B60" s="118" t="s">
        <v>171</v>
      </c>
      <c r="C60" s="24" t="s">
        <v>288</v>
      </c>
      <c r="D60" s="95">
        <f>'DOE25'!G97</f>
        <v>9105.6299999999992</v>
      </c>
      <c r="E60" s="24" t="s">
        <v>288</v>
      </c>
      <c r="F60" s="24" t="s">
        <v>288</v>
      </c>
      <c r="G60" s="24" t="s">
        <v>288</v>
      </c>
      <c r="H60"/>
      <c r="I60"/>
    </row>
    <row r="61" spans="1:9" ht="12" thickBot="1" x14ac:dyDescent="0.25">
      <c r="A61" s="1" t="s">
        <v>172</v>
      </c>
      <c r="B61" s="118" t="s">
        <v>173</v>
      </c>
      <c r="C61" s="95">
        <f>SUM('DOE25'!F98:F110)</f>
        <v>13233.75</v>
      </c>
      <c r="D61" s="95">
        <f>SUM('DOE25'!G98:G110)</f>
        <v>0</v>
      </c>
      <c r="E61" s="95">
        <f>SUM('DOE25'!H98:H110)</f>
        <v>1000</v>
      </c>
      <c r="F61" s="95">
        <f>SUM('DOE25'!I98:I110)</f>
        <v>0</v>
      </c>
      <c r="G61" s="95">
        <f>SUM('DOE25'!J98:J110)</f>
        <v>0</v>
      </c>
      <c r="H61"/>
      <c r="I61"/>
    </row>
    <row r="62" spans="1:9" ht="12.75" thickTop="1" thickBot="1" x14ac:dyDescent="0.25">
      <c r="A62" s="29" t="s">
        <v>174</v>
      </c>
      <c r="B62" s="6"/>
      <c r="C62" s="130">
        <f>SUM(C57:C61)</f>
        <v>56369.279999999999</v>
      </c>
      <c r="D62" s="130">
        <f>SUM(D57:D61)</f>
        <v>9130.65</v>
      </c>
      <c r="E62" s="130">
        <f>SUM(E57:E61)</f>
        <v>1000</v>
      </c>
      <c r="F62" s="130">
        <f>SUM(F57:F61)</f>
        <v>0</v>
      </c>
      <c r="G62" s="130">
        <f>SUM(G57:G61)</f>
        <v>2837.13</v>
      </c>
      <c r="H62"/>
      <c r="I62"/>
    </row>
    <row r="63" spans="1:9" ht="12" thickTop="1" x14ac:dyDescent="0.2">
      <c r="A63" s="29" t="s">
        <v>175</v>
      </c>
      <c r="B63" s="6"/>
      <c r="C63" s="22">
        <f>C56+C62</f>
        <v>752032.28</v>
      </c>
      <c r="D63" s="22">
        <f>D56+D62</f>
        <v>9130.65</v>
      </c>
      <c r="E63" s="22">
        <f>E56+E62</f>
        <v>1000</v>
      </c>
      <c r="F63" s="22">
        <f>F56+F62</f>
        <v>0</v>
      </c>
      <c r="G63" s="22">
        <f>G56+G62</f>
        <v>2837.13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1251018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1251018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1980</v>
      </c>
      <c r="D74" s="24"/>
      <c r="E74" s="24"/>
      <c r="F74" s="24"/>
      <c r="G74" s="24"/>
      <c r="H74"/>
      <c r="I74"/>
    </row>
    <row r="75" spans="1:9" x14ac:dyDescent="0.2">
      <c r="A75" s="1" t="s">
        <v>256</v>
      </c>
      <c r="B75" s="6">
        <v>3230</v>
      </c>
      <c r="C75" s="95">
        <f>'DOE25'!F126</f>
        <v>13191.31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15171.31</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1266189.31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4883.1899999999996</v>
      </c>
      <c r="E88" s="341">
        <f>SUM('DOE25'!H153:H162)</f>
        <v>40775.72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4883.1899999999996</v>
      </c>
      <c r="E91" s="131">
        <f>SUM(E85:E90)</f>
        <v>40775.72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13677.83</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13677.83</v>
      </c>
      <c r="E103" s="86">
        <f>SUM(E93:E102)</f>
        <v>0</v>
      </c>
      <c r="F103" s="86">
        <f>SUM(F93:F102)</f>
        <v>0</v>
      </c>
      <c r="G103" s="86">
        <f>SUM(G93:G102)</f>
        <v>60000</v>
      </c>
    </row>
    <row r="104" spans="1:7" ht="12.75" thickTop="1" thickBot="1" x14ac:dyDescent="0.25">
      <c r="A104" s="33" t="s">
        <v>761</v>
      </c>
      <c r="C104" s="86">
        <f>C63+C81+C91+C103</f>
        <v>2018221.59</v>
      </c>
      <c r="D104" s="86">
        <f>D63+D81+D91+D103</f>
        <v>27691.67</v>
      </c>
      <c r="E104" s="86">
        <f>E63+E81+E91+E103</f>
        <v>41775.72</v>
      </c>
      <c r="F104" s="86">
        <f>F63+F81+F91+F103</f>
        <v>0</v>
      </c>
      <c r="G104" s="86">
        <f>G63+G81+G103</f>
        <v>62837.13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1056339.3499999999</v>
      </c>
      <c r="D109" s="24" t="s">
        <v>288</v>
      </c>
      <c r="E109" s="95">
        <f>('DOE25'!L277)+('DOE25'!L296)+('DOE25'!L315)</f>
        <v>8501.630000000001</v>
      </c>
      <c r="F109" s="24" t="s">
        <v>288</v>
      </c>
      <c r="G109" s="24" t="s">
        <v>288</v>
      </c>
    </row>
    <row r="110" spans="1:7" x14ac:dyDescent="0.2">
      <c r="A110" t="s">
        <v>198</v>
      </c>
      <c r="B110" s="32" t="s">
        <v>199</v>
      </c>
      <c r="C110" s="95">
        <f>('DOE25'!L199)+('DOE25'!L217)+('DOE25'!L235)</f>
        <v>159934.15999999997</v>
      </c>
      <c r="D110" s="24" t="s">
        <v>288</v>
      </c>
      <c r="E110" s="95">
        <f>('DOE25'!L278)+('DOE25'!L297)+('DOE25'!L316)</f>
        <v>33274.090000000004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24986.980000000003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1241260.4899999998</v>
      </c>
      <c r="D115" s="86">
        <f>SUM(D109:D114)</f>
        <v>0</v>
      </c>
      <c r="E115" s="86">
        <f>SUM(E109:E114)</f>
        <v>41775.72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49761.64</v>
      </c>
      <c r="D118" s="24" t="s">
        <v>288</v>
      </c>
      <c r="E118" s="95">
        <f>+('DOE25'!L282)+('DOE25'!L301)+('DOE25'!L320)</f>
        <v>0</v>
      </c>
      <c r="F118" s="24" t="s">
        <v>288</v>
      </c>
      <c r="G118" s="24" t="s">
        <v>288</v>
      </c>
    </row>
    <row r="119" spans="1:7" x14ac:dyDescent="0.2">
      <c r="A119" t="s">
        <v>208</v>
      </c>
      <c r="B119" s="32" t="s">
        <v>209</v>
      </c>
      <c r="C119" s="95">
        <f>('DOE25'!L204)+('DOE25'!L222)+('DOE25'!L240)</f>
        <v>32144.67</v>
      </c>
      <c r="D119" s="24" t="s">
        <v>288</v>
      </c>
      <c r="E119" s="95">
        <f>+('DOE25'!L283)+('DOE25'!L302)+('DOE25'!L321)</f>
        <v>0</v>
      </c>
      <c r="F119" s="24" t="s">
        <v>288</v>
      </c>
      <c r="G119" s="24" t="s">
        <v>288</v>
      </c>
    </row>
    <row r="120" spans="1:7" x14ac:dyDescent="0.2">
      <c r="A120" t="s">
        <v>210</v>
      </c>
      <c r="B120" s="32" t="s">
        <v>211</v>
      </c>
      <c r="C120" s="95">
        <f>('DOE25'!L205)+('DOE25'!L223)+('DOE25'!L241)</f>
        <v>237503.17</v>
      </c>
      <c r="D120" s="24" t="s">
        <v>288</v>
      </c>
      <c r="E120" s="95">
        <f>+('DOE25'!L284)+('DOE25'!L303)+('DOE25'!L322)</f>
        <v>0</v>
      </c>
      <c r="F120" s="24" t="s">
        <v>288</v>
      </c>
      <c r="G120" s="24" t="s">
        <v>288</v>
      </c>
    </row>
    <row r="121" spans="1:7" x14ac:dyDescent="0.2">
      <c r="A121" t="s">
        <v>212</v>
      </c>
      <c r="B121" s="32" t="s">
        <v>213</v>
      </c>
      <c r="C121" s="95">
        <f>('DOE25'!L206)+('DOE25'!L224)+('DOE25'!L242)</f>
        <v>195451.77000000002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135223.74</v>
      </c>
      <c r="D123" s="24" t="s">
        <v>288</v>
      </c>
      <c r="E123" s="95">
        <f>+('DOE25'!L287)+('DOE25'!L306)+('DOE25'!L325)</f>
        <v>0</v>
      </c>
      <c r="F123" s="24" t="s">
        <v>288</v>
      </c>
      <c r="G123" s="24" t="s">
        <v>288</v>
      </c>
    </row>
    <row r="124" spans="1:7" x14ac:dyDescent="0.2">
      <c r="A124" t="s">
        <v>218</v>
      </c>
      <c r="B124" s="32" t="s">
        <v>219</v>
      </c>
      <c r="C124" s="95">
        <f>('DOE25'!L209)+('DOE25'!L227)+('DOE25'!L245+'DOE25'!L255)</f>
        <v>107994.3</v>
      </c>
      <c r="D124" s="24" t="s">
        <v>288</v>
      </c>
      <c r="E124" s="95">
        <f>+('DOE25'!L288)+('DOE25'!L307)+('DOE25'!L326)</f>
        <v>0</v>
      </c>
      <c r="F124" s="24" t="s">
        <v>288</v>
      </c>
      <c r="G124" s="24" t="s">
        <v>288</v>
      </c>
    </row>
    <row r="125" spans="1:7" x14ac:dyDescent="0.2">
      <c r="A125" t="s">
        <v>220</v>
      </c>
      <c r="B125" s="32" t="s">
        <v>221</v>
      </c>
      <c r="C125" s="95">
        <f>('DOE25'!L210)+('DOE25'!L228)+('DOE25'!L246)</f>
        <v>3248.39</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27445.989999999998</v>
      </c>
      <c r="E127" s="24" t="s">
        <v>288</v>
      </c>
      <c r="F127" s="24" t="s">
        <v>288</v>
      </c>
      <c r="G127" s="24" t="s">
        <v>288</v>
      </c>
    </row>
    <row r="128" spans="1:7" ht="12.75" thickTop="1" thickBot="1" x14ac:dyDescent="0.25">
      <c r="A128" s="33" t="s">
        <v>226</v>
      </c>
      <c r="C128" s="86">
        <f>SUM(C118:C127)</f>
        <v>761327.68</v>
      </c>
      <c r="D128" s="86">
        <f>SUM(D118:D127)</f>
        <v>27445.989999999998</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689</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13677.83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62837.130000000005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-2837.1300000000047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74366.83</v>
      </c>
      <c r="D144" s="141">
        <f>SUM(D130:D143)</f>
        <v>0</v>
      </c>
      <c r="E144" s="141">
        <f>SUM(E130:E143)</f>
        <v>0</v>
      </c>
      <c r="F144" s="141">
        <f>SUM(F130:F143)</f>
        <v>0</v>
      </c>
      <c r="G144" s="141">
        <f>SUM(G130:G143)</f>
        <v>0</v>
      </c>
    </row>
    <row r="145" spans="1:9" ht="12.75" thickTop="1" thickBot="1" x14ac:dyDescent="0.25">
      <c r="A145" s="33" t="s">
        <v>244</v>
      </c>
      <c r="C145" s="86">
        <f>(C115+C128+C144)</f>
        <v>2076955</v>
      </c>
      <c r="D145" s="86">
        <f>(D115+D128+D144)</f>
        <v>27445.989999999998</v>
      </c>
      <c r="E145" s="86">
        <f>(E115+E128+E144)</f>
        <v>41775.72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6"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NEWINGTON SCHOOL DISTRICT</v>
      </c>
    </row>
    <row r="3" spans="1:4" x14ac:dyDescent="0.2">
      <c r="B3" s="188" t="s">
        <v>1587</v>
      </c>
    </row>
    <row r="4" spans="1:4" x14ac:dyDescent="0.2">
      <c r="B4" t="s">
        <v>61</v>
      </c>
      <c r="C4" s="179">
        <f>IF('DOE25'!F666+'DOE25'!F671=0,0,ROUND('DOE25'!F673,0))</f>
        <v>28922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28922</v>
      </c>
    </row>
    <row r="9" spans="1:4" x14ac:dyDescent="0.2">
      <c r="A9" s="187" t="s">
        <v>94</v>
      </c>
      <c r="B9" s="188" t="s">
        <v>1588</v>
      </c>
      <c r="C9" s="181" t="s">
        <v>720</v>
      </c>
      <c r="D9" s="181" t="s">
        <v>721</v>
      </c>
    </row>
    <row r="10" spans="1:4" x14ac:dyDescent="0.2">
      <c r="A10">
        <v>1100</v>
      </c>
      <c r="B10" t="s">
        <v>702</v>
      </c>
      <c r="C10" s="179">
        <f>ROUND('DOE25'!L198+'DOE25'!L216+'DOE25'!L234+'DOE25'!L277+'DOE25'!L296+'DOE25'!L315,0)</f>
        <v>1064841</v>
      </c>
      <c r="D10" s="182">
        <f>ROUND((C10/$C$28)*100,1)</f>
        <v>51.6</v>
      </c>
    </row>
    <row r="11" spans="1:4" x14ac:dyDescent="0.2">
      <c r="A11">
        <v>1200</v>
      </c>
      <c r="B11" t="s">
        <v>703</v>
      </c>
      <c r="C11" s="179">
        <f>ROUND('DOE25'!L199+'DOE25'!L217+'DOE25'!L235+'DOE25'!L278+'DOE25'!L297+'DOE25'!L316,0)</f>
        <v>193208</v>
      </c>
      <c r="D11" s="182">
        <f>ROUND((C11/$C$28)*100,1)</f>
        <v>9.4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24987</v>
      </c>
      <c r="D13" s="182">
        <f>ROUND((C13/$C$28)*100,1)</f>
        <v>1.2</v>
      </c>
    </row>
    <row r="14" spans="1:4" x14ac:dyDescent="0.2">
      <c r="D14" s="182"/>
    </row>
    <row r="15" spans="1:4" x14ac:dyDescent="0.2">
      <c r="A15">
        <v>2100</v>
      </c>
      <c r="B15" t="s">
        <v>706</v>
      </c>
      <c r="C15" s="179">
        <f>ROUND('DOE25'!L203+'DOE25'!L221+'DOE25'!L239+'DOE25'!L282+'DOE25'!L301+'DOE25'!L320,0)</f>
        <v>49762</v>
      </c>
      <c r="D15" s="182">
        <f t="shared" ref="D15:D27" si="0">ROUND((C15/$C$28)*100,1)</f>
        <v>2.4</v>
      </c>
    </row>
    <row r="16" spans="1:4" x14ac:dyDescent="0.2">
      <c r="A16">
        <v>2200</v>
      </c>
      <c r="B16" t="s">
        <v>707</v>
      </c>
      <c r="C16" s="179">
        <f>ROUND('DOE25'!L204+'DOE25'!L222+'DOE25'!L240+'DOE25'!L283+'DOE25'!L302+'DOE25'!L321,0)</f>
        <v>32145</v>
      </c>
      <c r="D16" s="182">
        <f t="shared" si="0"/>
        <v>1.6</v>
      </c>
    </row>
    <row r="17" spans="1:4" x14ac:dyDescent="0.2">
      <c r="A17" s="183" t="s">
        <v>723</v>
      </c>
      <c r="B17" t="s">
        <v>738</v>
      </c>
      <c r="C17" s="179">
        <f>ROUND('DOE25'!L205+'DOE25'!L210+'DOE25'!L223+'DOE25'!L228+'DOE25'!L241+'DOE25'!L246+'DOE25'!L284+'DOE25'!L289+'DOE25'!L303+'DOE25'!L308+'DOE25'!L322+'DOE25'!L327,0)</f>
        <v>240752</v>
      </c>
      <c r="D17" s="182">
        <f t="shared" si="0"/>
        <v>11.7</v>
      </c>
    </row>
    <row r="18" spans="1:4" x14ac:dyDescent="0.2">
      <c r="A18">
        <v>2400</v>
      </c>
      <c r="B18" t="s">
        <v>711</v>
      </c>
      <c r="C18" s="179">
        <f>ROUND('DOE25'!L206+'DOE25'!L224+'DOE25'!L242+'DOE25'!L285+'DOE25'!L304+'DOE25'!L323,0)</f>
        <v>195452</v>
      </c>
      <c r="D18" s="182">
        <f t="shared" si="0"/>
        <v>9.5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135224</v>
      </c>
      <c r="D20" s="182">
        <f t="shared" si="0"/>
        <v>6.6</v>
      </c>
    </row>
    <row r="21" spans="1:4" x14ac:dyDescent="0.2">
      <c r="A21">
        <v>2700</v>
      </c>
      <c r="B21" t="s">
        <v>710</v>
      </c>
      <c r="C21" s="179">
        <f>ROUND('DOE25'!L209+'DOE25'!L227+'DOE25'!L245+'DOE25'!L288+'DOE25'!L307+'DOE25'!L326,0)</f>
        <v>107994</v>
      </c>
      <c r="D21" s="182">
        <f t="shared" si="0"/>
        <v>5.2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18340.370000000003</v>
      </c>
      <c r="D27" s="182">
        <f t="shared" si="0"/>
        <v>0.9</v>
      </c>
    </row>
    <row r="28" spans="1:4" x14ac:dyDescent="0.2">
      <c r="B28" s="187" t="s">
        <v>719</v>
      </c>
      <c r="C28" s="180">
        <f>SUM(C10:C27)</f>
        <v>2062705.37</v>
      </c>
      <c r="D28" s="184">
        <f>ROUND(SUM(D10:D27),0)</f>
        <v>100</v>
      </c>
    </row>
    <row r="29" spans="1:4" x14ac:dyDescent="0.2">
      <c r="A29">
        <v>4000</v>
      </c>
      <c r="B29" t="s">
        <v>724</v>
      </c>
      <c r="C29" s="179">
        <f>ROUND('DOE25'!L256+'DOE25'!L337+'DOE25'!L375+'DOE25'!L376+'DOE25'!L377+'DOE25'!L378+'DOE25'!L379+'DOE25'!L380+'DOE25'!L381,0)</f>
        <v>689</v>
      </c>
    </row>
    <row r="30" spans="1:4" x14ac:dyDescent="0.2">
      <c r="B30" s="187" t="s">
        <v>725</v>
      </c>
      <c r="C30" s="180">
        <f>SUM(C28:C29)</f>
        <v>2063394.37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695663</v>
      </c>
      <c r="D35" s="182">
        <f t="shared" ref="D35:D40" si="1">ROUND((C35/$C$41)*100,1)</f>
        <v>33.6</v>
      </c>
    </row>
    <row r="36" spans="1:4" x14ac:dyDescent="0.2">
      <c r="B36" s="185" t="s">
        <v>739</v>
      </c>
      <c r="C36" s="179">
        <f>SUM('DOE25'!F112:J112)-SUM('DOE25'!G97:G110)+('DOE25'!F175+'DOE25'!F176+'DOE25'!I175+'DOE25'!I176)-C35</f>
        <v>60231.430000000051</v>
      </c>
      <c r="D36" s="182">
        <f t="shared" si="1"/>
        <v>2.9</v>
      </c>
    </row>
    <row r="37" spans="1:4" x14ac:dyDescent="0.2">
      <c r="A37" s="183" t="s">
        <v>835</v>
      </c>
      <c r="B37" s="185" t="s">
        <v>728</v>
      </c>
      <c r="C37" s="179">
        <f>ROUND('DOE25'!F117+'DOE25'!F118,0)</f>
        <v>1251018</v>
      </c>
      <c r="D37" s="182">
        <f t="shared" si="1"/>
        <v>60.5</v>
      </c>
    </row>
    <row r="38" spans="1:4" x14ac:dyDescent="0.2">
      <c r="A38" s="183" t="s">
        <v>734</v>
      </c>
      <c r="B38" s="185" t="s">
        <v>729</v>
      </c>
      <c r="C38" s="179">
        <f>ROUND(SUM('DOE25'!F140:J140)-SUM('DOE25'!F117:F119),0)</f>
        <v>15171</v>
      </c>
      <c r="D38" s="182">
        <f t="shared" si="1"/>
        <v>0.7</v>
      </c>
    </row>
    <row r="39" spans="1:4" x14ac:dyDescent="0.2">
      <c r="A39">
        <v>4000</v>
      </c>
      <c r="B39" s="185" t="s">
        <v>730</v>
      </c>
      <c r="C39" s="179">
        <f>ROUND('DOE25'!F170+'DOE25'!G170+'DOE25'!H170+'DOE25'!I170,0)</f>
        <v>45659</v>
      </c>
      <c r="D39" s="182">
        <f t="shared" si="1"/>
        <v>2.2000000000000002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2067742.4300000002</v>
      </c>
      <c r="D41" s="184">
        <f>SUM(D35:D40)</f>
        <v>99.9</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NEWINGTON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2020-11-20T15:38:42Z</cp:lastPrinted>
  <dcterms:created xsi:type="dcterms:W3CDTF">1997-12-04T19:04:30Z</dcterms:created>
  <dcterms:modified xsi:type="dcterms:W3CDTF">2020-12-16T18:33:41Z</dcterms:modified>
</cp:coreProperties>
</file>