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I544" i="1" l="1"/>
  <c r="I543" i="1"/>
  <c r="I542" i="1"/>
  <c r="H544" i="1"/>
  <c r="H542" i="1"/>
  <c r="G542" i="1"/>
  <c r="F542" i="1"/>
  <c r="F110" i="1"/>
  <c r="F57" i="1"/>
  <c r="F14" i="13" l="1"/>
  <c r="F15" i="13"/>
  <c r="F6" i="13"/>
  <c r="F5" i="13"/>
  <c r="G474" i="1" l="1"/>
  <c r="I359" i="1"/>
  <c r="B28" i="12" l="1"/>
  <c r="C12" i="12"/>
  <c r="C21" i="12"/>
  <c r="B12" i="12"/>
  <c r="B21" i="12"/>
  <c r="B37" i="12"/>
  <c r="B39" i="12"/>
  <c r="K529" i="1" l="1"/>
  <c r="I529" i="1"/>
  <c r="H529" i="1"/>
  <c r="G529" i="1"/>
  <c r="F529" i="1"/>
  <c r="J524" i="1"/>
  <c r="I524" i="1"/>
  <c r="H524" i="1"/>
  <c r="I528" i="1"/>
  <c r="H528" i="1"/>
  <c r="G528" i="1"/>
  <c r="F528" i="1"/>
  <c r="J523" i="1"/>
  <c r="I523" i="1"/>
  <c r="H523" i="1"/>
  <c r="F523" i="1"/>
  <c r="I527" i="1"/>
  <c r="H527" i="1"/>
  <c r="G527" i="1"/>
  <c r="F527" i="1"/>
  <c r="J522" i="1"/>
  <c r="I522" i="1"/>
  <c r="H522" i="1"/>
  <c r="F474" i="1"/>
  <c r="F50" i="1"/>
  <c r="F12" i="1"/>
  <c r="H22" i="1"/>
  <c r="H288" i="1" l="1"/>
  <c r="H120" i="1"/>
  <c r="H154" i="1"/>
  <c r="H156" i="1"/>
  <c r="H155" i="1"/>
  <c r="H13" i="1" l="1"/>
  <c r="H24" i="1"/>
  <c r="H23" i="1"/>
  <c r="J605" i="1" l="1"/>
  <c r="I605" i="1"/>
  <c r="H605" i="1"/>
  <c r="H110" i="1"/>
  <c r="H102" i="1"/>
  <c r="H326" i="1" l="1"/>
  <c r="H323" i="1"/>
  <c r="H316" i="1"/>
  <c r="H283" i="1"/>
  <c r="I565" i="1"/>
  <c r="I564" i="1"/>
  <c r="I563" i="1"/>
  <c r="H576" i="1"/>
  <c r="H580" i="1"/>
  <c r="F580" i="1"/>
  <c r="H596" i="1"/>
  <c r="H593" i="1"/>
  <c r="I596" i="1"/>
  <c r="I595" i="1"/>
  <c r="I593" i="1"/>
  <c r="J596" i="1"/>
  <c r="J595" i="1"/>
  <c r="J593" i="1"/>
  <c r="F499" i="1"/>
  <c r="H359" i="1"/>
  <c r="G224" i="1" l="1"/>
  <c r="F224" i="1"/>
  <c r="H223" i="1"/>
  <c r="G219" i="1"/>
  <c r="F219" i="1"/>
  <c r="I217" i="1"/>
  <c r="H217" i="1"/>
  <c r="F217" i="1"/>
  <c r="G216" i="1"/>
  <c r="F216" i="1"/>
  <c r="I245" i="1"/>
  <c r="I243" i="1"/>
  <c r="H243" i="1"/>
  <c r="G243" i="1"/>
  <c r="F243" i="1"/>
  <c r="K241" i="1"/>
  <c r="I241" i="1"/>
  <c r="H241" i="1"/>
  <c r="K235" i="1"/>
  <c r="I227" i="1"/>
  <c r="G209" i="1"/>
  <c r="H209" i="1"/>
  <c r="I225" i="1"/>
  <c r="H225" i="1"/>
  <c r="G225" i="1"/>
  <c r="F225" i="1"/>
  <c r="K223" i="1"/>
  <c r="I223" i="1"/>
  <c r="F222" i="1"/>
  <c r="H221" i="1"/>
  <c r="H199" i="1"/>
  <c r="G199" i="1"/>
  <c r="F199" i="1"/>
  <c r="G198" i="1"/>
  <c r="F198" i="1"/>
  <c r="F209" i="1"/>
  <c r="J209" i="1"/>
  <c r="I209" i="1"/>
  <c r="J208" i="1"/>
  <c r="I208" i="1"/>
  <c r="H208" i="1"/>
  <c r="G208" i="1"/>
  <c r="F208" i="1"/>
  <c r="H207" i="1"/>
  <c r="I207" i="1"/>
  <c r="G207" i="1"/>
  <c r="F207" i="1"/>
  <c r="G205" i="1"/>
  <c r="F205" i="1"/>
  <c r="J204" i="1"/>
  <c r="I204" i="1"/>
  <c r="H204" i="1"/>
  <c r="G204" i="1"/>
  <c r="F204" i="1"/>
  <c r="H203" i="1"/>
  <c r="G203" i="1"/>
  <c r="F203" i="1"/>
  <c r="H205" i="1"/>
  <c r="K205" i="1"/>
  <c r="I205" i="1"/>
  <c r="G201" i="1" l="1"/>
  <c r="F201" i="1"/>
  <c r="G158" i="1" l="1"/>
  <c r="G48" i="1"/>
  <c r="F117" i="1"/>
  <c r="F69" i="1"/>
  <c r="F6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12" i="14"/>
  <c r="C16" i="14"/>
  <c r="C20" i="14"/>
  <c r="B6" i="14"/>
  <c r="C6" i="14" s="1"/>
  <c r="B7" i="14"/>
  <c r="C7" i="14" s="1"/>
  <c r="B8" i="14"/>
  <c r="B9" i="14"/>
  <c r="C9" i="14" s="1"/>
  <c r="B10" i="14"/>
  <c r="C10" i="14" s="1"/>
  <c r="B11" i="14"/>
  <c r="C11" i="14" s="1"/>
  <c r="B12" i="14"/>
  <c r="B13" i="14"/>
  <c r="C13" i="14" s="1"/>
  <c r="B14" i="14"/>
  <c r="C14" i="14" s="1"/>
  <c r="B15" i="14"/>
  <c r="C15" i="14" s="1"/>
  <c r="B16" i="14"/>
  <c r="B17" i="14"/>
  <c r="C17" i="14" s="1"/>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E121" i="2" s="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40" i="1" s="1"/>
  <c r="H136" i="1"/>
  <c r="I121" i="1"/>
  <c r="I136" i="1"/>
  <c r="J121" i="1"/>
  <c r="J136" i="1"/>
  <c r="F147" i="1"/>
  <c r="C85" i="2" s="1"/>
  <c r="F170" i="1"/>
  <c r="G147" i="1"/>
  <c r="D85" i="2" s="1"/>
  <c r="H147" i="1"/>
  <c r="H170" i="1" s="1"/>
  <c r="I147" i="1"/>
  <c r="C12" i="10"/>
  <c r="C13"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20"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31" i="1"/>
  <c r="H632" i="1"/>
  <c r="H637" i="1"/>
  <c r="H638" i="1"/>
  <c r="H639" i="1"/>
  <c r="G644" i="1"/>
  <c r="G645" i="1"/>
  <c r="G646" i="1"/>
  <c r="G653" i="1"/>
  <c r="H653" i="1"/>
  <c r="G654" i="1"/>
  <c r="H654" i="1"/>
  <c r="G655" i="1"/>
  <c r="H655" i="1"/>
  <c r="H656" i="1"/>
  <c r="J656" i="1" s="1"/>
  <c r="I170" i="1"/>
  <c r="J140" i="1"/>
  <c r="L257" i="1" l="1"/>
  <c r="H193" i="1"/>
  <c r="L402" i="1"/>
  <c r="C139" i="2" s="1"/>
  <c r="C32" i="10"/>
  <c r="G553" i="1"/>
  <c r="C91" i="2"/>
  <c r="A40" i="12"/>
  <c r="D50" i="2"/>
  <c r="H112" i="1"/>
  <c r="G663" i="1"/>
  <c r="E119" i="2"/>
  <c r="G339" i="1"/>
  <c r="G353" i="1" s="1"/>
  <c r="J652" i="1"/>
  <c r="C131" i="2"/>
  <c r="C119" i="2"/>
  <c r="G651" i="1"/>
  <c r="E13" i="13"/>
  <c r="C13" i="13" s="1"/>
  <c r="F258" i="1"/>
  <c r="F272" i="1" s="1"/>
  <c r="J258" i="1"/>
  <c r="J272" i="1" s="1"/>
  <c r="D6" i="13"/>
  <c r="C6" i="13" s="1"/>
  <c r="C110" i="2"/>
  <c r="D15" i="13"/>
  <c r="C15" i="13" s="1"/>
  <c r="C20" i="10"/>
  <c r="C120" i="2"/>
  <c r="C11" i="10"/>
  <c r="F339" i="1"/>
  <c r="F353" i="1" s="1"/>
  <c r="J642" i="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H194" i="1"/>
  <c r="G630" i="1" s="1"/>
  <c r="C81" i="2"/>
  <c r="L572" i="1"/>
  <c r="B17" i="16"/>
  <c r="B19" i="16" s="1"/>
  <c r="G473" i="1"/>
  <c r="I663" i="1"/>
  <c r="C141" i="2"/>
  <c r="C144" i="2" s="1"/>
  <c r="E128" i="2"/>
  <c r="E145" i="2" s="1"/>
  <c r="H661" i="1"/>
  <c r="H665" i="1" s="1"/>
  <c r="H668" i="1" s="1"/>
  <c r="G24" i="14"/>
  <c r="H24" i="14" s="1"/>
  <c r="I24" i="14" s="1"/>
  <c r="F661" i="1"/>
  <c r="F665" i="1" s="1"/>
  <c r="F668" i="1" s="1"/>
  <c r="G36" i="14"/>
  <c r="H36" i="14" s="1"/>
  <c r="I36" i="14" s="1"/>
  <c r="H649" i="1"/>
  <c r="J649" i="1" s="1"/>
  <c r="E51" i="2"/>
  <c r="F194" i="1"/>
  <c r="E104" i="2"/>
  <c r="C36" i="10"/>
  <c r="L435" i="1"/>
  <c r="G639" i="1" s="1"/>
  <c r="J639" i="1" s="1"/>
  <c r="I662" i="1"/>
  <c r="G104" i="2"/>
  <c r="L339" i="1"/>
  <c r="L353" i="1" s="1"/>
  <c r="I194" i="1"/>
  <c r="G631" i="1" s="1"/>
  <c r="J631" i="1" s="1"/>
  <c r="G636" i="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C104" i="2" l="1"/>
  <c r="H469" i="1"/>
  <c r="H471" i="1" s="1"/>
  <c r="G475" i="1"/>
  <c r="H636" i="1"/>
  <c r="G634" i="1"/>
  <c r="H473" i="1"/>
  <c r="G629" i="1"/>
  <c r="G469" i="1"/>
  <c r="G633" i="1"/>
  <c r="F473" i="1"/>
  <c r="J636" i="1"/>
  <c r="G628" i="1"/>
  <c r="F469"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0" i="1" l="1"/>
  <c r="J630" i="1" s="1"/>
  <c r="F475" i="1"/>
  <c r="H633" i="1"/>
  <c r="J633" i="1" s="1"/>
  <c r="H634" i="1"/>
  <c r="J634" i="1" s="1"/>
  <c r="H475" i="1"/>
  <c r="H477" i="1" s="1"/>
  <c r="H625" i="1" s="1"/>
  <c r="J625" i="1" s="1"/>
  <c r="G471" i="1"/>
  <c r="G477" i="1" s="1"/>
  <c r="H629" i="1"/>
  <c r="J629" i="1" s="1"/>
  <c r="F471" i="1"/>
  <c r="H628" i="1"/>
  <c r="J628" i="1" s="1"/>
  <c r="I668" i="1"/>
  <c r="D28" i="10"/>
  <c r="D37" i="10"/>
  <c r="D36" i="10"/>
  <c r="D35" i="10"/>
  <c r="D40" i="10"/>
  <c r="D39" i="10"/>
  <c r="H624" i="1" l="1"/>
  <c r="J624" i="1" s="1"/>
  <c r="B33" i="16"/>
  <c r="F477" i="1"/>
  <c r="H623" i="1" s="1"/>
  <c r="D41" i="10"/>
  <c r="J623"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<sst xmlns="http://schemas.openxmlformats.org/spreadsheetml/2006/main" count="5547" uniqueCount="1645">
  <si>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</si>
  <si>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</si>
  <si>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</si>
  <si>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</si>
  <si>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</si>
  <si>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</si>
  <si>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</si>
  <si>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</si>
  <si>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</si>
  <si>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</si>
  <si>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</si>
  <si>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</si>
  <si>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</si>
  <si>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</si>
  <si>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</si>
  <si>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</si>
  <si>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</si>
  <si>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</si>
  <si>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</si>
  <si>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</si>
  <si>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</si>
  <si>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</si>
  <si>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</si>
  <si>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</si>
  <si>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</si>
  <si>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</si>
  <si>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</si>
  <si>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</si>
  <si>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</si>
  <si>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</si>
  <si>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</si>
  <si>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</si>
  <si>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</si>
  <si>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</si>
  <si>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</si>
  <si>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</si>
  <si>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</si>
  <si>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</si>
  <si>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</si>
  <si>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</si>
  <si>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</si>
  <si>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</si>
  <si>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</si>
  <si>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</si>
  <si>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</si>
  <si>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</si>
  <si>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</si>
  <si>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</si>
  <si>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</si>
  <si>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</si>
  <si>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</si>
  <si>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</si>
  <si>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</si>
  <si>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</si>
  <si>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</si>
  <si>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</si>
  <si>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</si>
  <si>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</si>
  <si>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</si>
  <si>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</si>
  <si>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</si>
  <si>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</si>
  <si>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</si>
  <si>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</si>
  <si>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</si>
  <si>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</si>
  <si>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</si>
  <si>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</si>
  <si>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</si>
  <si>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</si>
  <si>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</si>
  <si>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</si>
  <si>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</si>
  <si>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</si>
  <si>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</si>
  <si>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</si>
  <si>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</si>
  <si>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</si>
  <si>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</si>
  <si>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</si>
  <si>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</si>
  <si>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</si>
  <si>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</si>
  <si>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</si>
  <si>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</si>
  <si>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</si>
  <si>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</si>
  <si>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</si>
  <si>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</si>
  <si>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</si>
  <si>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</si>
  <si>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</si>
  <si>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</si>
  <si>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</si>
  <si>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</si>
  <si>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</si>
  <si>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</si>
  <si>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</si>
  <si>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</si>
  <si>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</si>
  <si>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</si>
  <si>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</si>
  <si>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</si>
  <si>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</si>
  <si>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</si>
  <si>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</si>
  <si>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</si>
  <si>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</si>
  <si>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</si>
  <si>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</si>
  <si>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</si>
  <si>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</si>
  <si>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</si>
  <si>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</si>
  <si>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</si>
  <si>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</si>
  <si>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</si>
  <si>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</si>
  <si>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</si>
  <si>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</si>
  <si>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</si>
  <si>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</si>
  <si>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</si>
  <si>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</si>
  <si>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</si>
  <si>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</si>
  <si>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</si>
  <si>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</si>
  <si>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</si>
  <si>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</si>
  <si>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</si>
  <si>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</si>
  <si>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</si>
  <si>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</si>
  <si>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</si>
  <si>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</si>
  <si>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</si>
  <si>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</si>
  <si>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</si>
  <si>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</si>
  <si>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</si>
  <si>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</si>
  <si>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</si>
  <si>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</si>
  <si>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</si>
  <si>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</si>
  <si>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</si>
  <si>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</si>
  <si>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</si>
  <si>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</si>
  <si>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</si>
  <si>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</si>
  <si>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</si>
  <si>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</si>
  <si>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</si>
  <si>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</si>
  <si>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</si>
  <si>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</si>
  <si>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</si>
  <si>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</si>
  <si>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</si>
  <si>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</si>
  <si>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</si>
  <si>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</si>
  <si>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</si>
  <si>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</si>
  <si>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</si>
  <si>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</si>
  <si>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</si>
  <si>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</si>
  <si>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</si>
  <si>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</si>
  <si>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</si>
  <si>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</si>
  <si>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</si>
  <si>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</si>
  <si>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</si>
  <si>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</si>
  <si>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</si>
  <si>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</si>
  <si>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</si>
  <si>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</si>
  <si>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</si>
  <si>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</si>
  <si>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</si>
  <si>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</si>
  <si>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</si>
  <si>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</si>
  <si>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</si>
  <si>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</si>
  <si>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</si>
  <si>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</si>
  <si>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</si>
  <si>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</si>
  <si>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</si>
  <si>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</si>
  <si>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</si>
  <si>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</si>
  <si>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</si>
  <si>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</si>
  <si>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</si>
  <si>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</si>
  <si>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</si>
  <si>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</si>
  <si>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</si>
  <si>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</si>
  <si>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</si>
  <si>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</si>
  <si>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</si>
  <si>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</si>
  <si>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</si>
  <si>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</si>
  <si>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</si>
  <si>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</si>
  <si>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</si>
  <si>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</si>
  <si>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</si>
  <si>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</si>
  <si>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</si>
  <si>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</si>
  <si>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</si>
  <si>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</si>
  <si>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</si>
  <si>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</si>
  <si>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</si>
  <si>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</si>
  <si>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</si>
  <si>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</si>
  <si>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</si>
  <si>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</si>
  <si>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</si>
  <si>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</si>
  <si>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</si>
  <si>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</si>
  <si>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</si>
  <si>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</si>
  <si>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</si>
  <si>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</si>
  <si>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</si>
  <si>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</si>
  <si>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</si>
  <si>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</si>
  <si>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</si>
  <si>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</si>
  <si>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</si>
  <si>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</si>
  <si>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</si>
  <si>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</si>
  <si>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</si>
  <si>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</si>
  <si>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</si>
  <si>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</si>
  <si>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</si>
  <si>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</si>
  <si>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</si>
  <si>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</si>
  <si>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</si>
  <si>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</si>
  <si>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</si>
  <si>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</si>
  <si>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</si>
  <si>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</si>
  <si>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</si>
  <si>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</si>
  <si>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</si>
  <si>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</si>
  <si>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</si>
  <si>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</si>
  <si>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</si>
  <si>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</si>
  <si>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</si>
  <si>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</si>
  <si>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</si>
  <si>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</si>
  <si>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</si>
  <si>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</si>
  <si>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</si>
  <si>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</si>
  <si>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</si>
  <si>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</si>
  <si>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</si>
  <si>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</si>
  <si>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</si>
  <si>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</si>
  <si>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</si>
  <si>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</si>
  <si>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</si>
  <si>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</si>
  <si>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</si>
  <si>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</si>
  <si>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</si>
  <si>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</si>
  <si>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</si>
  <si>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</si>
  <si>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</si>
  <si>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</si>
  <si>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</si>
  <si>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</si>
  <si>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</si>
  <si>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</si>
  <si>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</si>
  <si>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</si>
  <si>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</si>
  <si>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</si>
  <si>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</si>
  <si>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</si>
  <si>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</si>
  <si>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</si>
  <si>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</si>
  <si>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</si>
  <si>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</si>
  <si>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</si>
  <si>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</si>
  <si>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</si>
  <si>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</si>
  <si>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</si>
  <si>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</si>
  <si>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</si>
  <si>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</si>
  <si>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</si>
  <si>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</si>
  <si>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</si>
  <si>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</si>
  <si>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</si>
  <si>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</si>
  <si>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</si>
  <si>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</si>
  <si>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</si>
  <si>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</si>
  <si>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</si>
  <si>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</si>
  <si>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</si>
  <si>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</si>
  <si>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</si>
  <si>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</si>
  <si>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</si>
  <si>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</si>
  <si>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</si>
  <si>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</si>
  <si>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</si>
  <si>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</si>
  <si>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</si>
  <si>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</si>
  <si>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</si>
  <si>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</si>
  <si>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</si>
  <si>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</si>
  <si>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</si>
  <si>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</si>
  <si>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</si>
  <si>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</si>
  <si>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</si>
  <si>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</si>
  <si>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</si>
  <si>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</si>
  <si>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</si>
  <si>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</si>
  <si>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</si>
  <si>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</si>
  <si>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</si>
  <si>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</si>
  <si>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</si>
  <si>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</si>
  <si>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</si>
  <si>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</si>
  <si>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</si>
  <si>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</si>
  <si>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</si>
  <si>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</si>
  <si>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</si>
  <si>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</si>
  <si>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</si>
  <si>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</si>
  <si>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</si>
  <si>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</si>
  <si>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</si>
  <si>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</si>
  <si>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</si>
  <si>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</si>
  <si>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</si>
  <si>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</si>
  <si>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</si>
  <si>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</si>
  <si>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</si>
  <si>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</si>
  <si>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</si>
  <si>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</si>
  <si>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</si>
  <si>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</si>
  <si>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</si>
  <si>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</si>
  <si>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</si>
  <si>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</si>
  <si>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</si>
  <si>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</si>
  <si>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</si>
  <si>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</si>
  <si>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</si>
  <si>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</si>
  <si>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</si>
  <si>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</si>
  <si>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</si>
  <si>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</si>
  <si>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</si>
  <si>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</si>
  <si>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</si>
  <si>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</si>
  <si>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</si>
  <si>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</si>
  <si>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</si>
  <si>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</si>
  <si>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</si>
  <si>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</si>
  <si>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</si>
  <si>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</si>
  <si>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</si>
  <si>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</si>
  <si>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</si>
  <si>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</si>
  <si>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</si>
  <si>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</si>
  <si>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</si>
  <si>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</si>
  <si>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</si>
  <si>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</si>
  <si>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</si>
  <si>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</si>
  <si>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</si>
  <si>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</si>
  <si>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</si>
  <si>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</si>
  <si>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</si>
  <si>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</si>
  <si>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</si>
  <si>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</si>
  <si>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</si>
  <si>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</si>
  <si>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</si>
  <si>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</si>
  <si>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</si>
  <si>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</si>
  <si>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</si>
  <si>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</si>
  <si>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</si>
  <si>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</si>
  <si>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</si>
  <si>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</si>
  <si>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</si>
  <si>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</si>
  <si>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</si>
  <si>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</si>
  <si>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</si>
  <si>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</si>
  <si>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</si>
  <si>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</si>
  <si>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</si>
  <si>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</si>
  <si>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</si>
  <si>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</si>
  <si>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</si>
  <si>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</si>
  <si>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</si>
  <si>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</si>
  <si>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</si>
  <si>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</si>
  <si>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</si>
  <si>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</si>
  <si>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</si>
  <si>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</si>
  <si>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</si>
  <si>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</si>
  <si>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</si>
  <si>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</si>
  <si>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</si>
  <si>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</si>
  <si>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</si>
  <si>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</si>
  <si>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</si>
  <si>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</si>
  <si>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</si>
  <si>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</si>
  <si>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</si>
  <si>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</si>
  <si>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</si>
  <si>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</si>
  <si>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</si>
  <si>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</si>
  <si>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</si>
  <si>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</si>
  <si>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</si>
  <si>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</si>
  <si>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</si>
  <si>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</si>
  <si>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</si>
  <si>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</si>
  <si>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</si>
  <si>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</si>
  <si>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</si>
  <si>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</si>
  <si>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</si>
  <si>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</si>
  <si>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</si>
  <si>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</si>
  <si>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</si>
  <si>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</si>
  <si>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</si>
  <si>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</si>
  <si>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</si>
  <si>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</si>
  <si>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</si>
  <si>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</si>
  <si>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</si>
  <si>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</si>
  <si>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</si>
  <si>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</si>
  <si>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</si>
  <si>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</si>
  <si>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</si>
  <si>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</si>
  <si>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</si>
  <si>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</si>
  <si>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</si>
  <si>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</si>
  <si>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</si>
  <si>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</si>
  <si>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</si>
  <si>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</si>
  <si>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</si>
  <si>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</si>
  <si>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</si>
  <si>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</si>
  <si>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</si>
  <si>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</si>
  <si>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</si>
  <si>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</si>
  <si>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</si>
  <si>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</si>
  <si>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</si>
  <si>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</si>
  <si>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</si>
  <si>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</si>
  <si>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</si>
  <si>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</si>
  <si>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</si>
  <si>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</si>
  <si>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</si>
  <si>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</si>
  <si>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</si>
  <si>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</si>
  <si>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</si>
  <si>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</si>
  <si>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</si>
  <si>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</si>
  <si>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</si>
  <si>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</si>
  <si>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</si>
  <si>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</si>
  <si>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</si>
  <si>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</si>
  <si>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</si>
  <si>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</si>
  <si>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</si>
  <si>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</si>
  <si>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</si>
  <si>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</si>
  <si>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</si>
  <si>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</si>
  <si>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</si>
  <si>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</si>
  <si>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</si>
  <si>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</si>
  <si>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</si>
  <si>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</si>
  <si>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</si>
  <si>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</si>
  <si>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</si>
  <si>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</si>
  <si>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</si>
  <si>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</si>
  <si>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</si>
  <si>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</si>
  <si>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</si>
  <si>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</si>
  <si>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</si>
  <si>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</si>
  <si>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</si>
  <si>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</si>
  <si>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</si>
  <si>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</si>
  <si>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</si>
  <si>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</si>
  <si>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</si>
  <si>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</si>
  <si>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</si>
  <si>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</si>
  <si>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</si>
  <si>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</si>
  <si>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</si>
  <si>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</si>
  <si>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</si>
  <si>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</si>
  <si>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</si>
  <si>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</si>
  <si>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</si>
  <si>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</si>
  <si>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</si>
  <si>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</si>
  <si>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</si>
  <si>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</si>
  <si>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</si>
  <si>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</si>
  <si>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</si>
  <si>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</si>
  <si>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</si>
  <si>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</si>
  <si>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</si>
  <si>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</si>
  <si>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</si>
  <si>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</si>
  <si>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</si>
  <si>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</si>
  <si>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</si>
  <si>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</si>
  <si>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</si>
  <si>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</si>
  <si>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</si>
  <si>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</si>
  <si>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</si>
  <si>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</si>
  <si>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</si>
  <si>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</si>
  <si>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</si>
  <si>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</si>
  <si>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</si>
  <si>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</si>
  <si>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</si>
  <si>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</si>
  <si>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</si>
  <si>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</si>
  <si>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</si>
  <si>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</si>
  <si>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</si>
  <si>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</si>
  <si>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</si>
  <si>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</si>
  <si>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</si>
  <si>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</si>
  <si>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</si>
  <si>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</si>
  <si>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</si>
  <si>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</si>
  <si>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</si>
  <si>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</si>
  <si>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</si>
  <si>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</si>
  <si>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</si>
  <si>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</si>
  <si>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</si>
  <si>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</si>
  <si>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</si>
  <si>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</si>
  <si>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</si>
  <si>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</si>
  <si>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</si>
  <si>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</si>
  <si>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</si>
  <si>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</si>
  <si>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</si>
  <si>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</si>
  <si>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</si>
  <si>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</si>
  <si>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</si>
  <si>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</si>
  <si>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</si>
  <si>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</si>
  <si>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</si>
  <si>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</si>
  <si>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</si>
  <si>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</si>
  <si>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</si>
  <si>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</si>
  <si>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</si>
  <si>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</si>
  <si>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</si>
  <si>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</si>
  <si>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</si>
  <si>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</si>
  <si>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</si>
  <si>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</si>
  <si>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</si>
  <si>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</si>
  <si>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</si>
  <si>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</si>
  <si>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</si>
  <si>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</si>
  <si>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</si>
  <si>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</si>
  <si>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</si>
  <si>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</si>
  <si>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</si>
  <si>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</si>
  <si>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</si>
  <si>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</si>
  <si>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</si>
  <si>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</si>
  <si>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</si>
  <si>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</si>
  <si>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</si>
  <si>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</si>
  <si>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</si>
  <si>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</si>
  <si>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</si>
  <si>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</si>
  <si>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</si>
  <si>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</si>
  <si>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</si>
  <si>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</si>
  <si>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</si>
  <si>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</si>
  <si>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</si>
  <si>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</si>
  <si>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</si>
  <si>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</si>
  <si>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</si>
  <si>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</si>
  <si>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</si>
  <si>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</si>
  <si>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</si>
  <si>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</si>
  <si>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</si>
  <si>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</si>
  <si>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</si>
  <si>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</si>
  <si>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</si>
  <si>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</si>
  <si>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</si>
  <si>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</si>
  <si>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</si>
  <si>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</si>
  <si>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</si>
  <si>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</si>
  <si>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</si>
  <si>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</si>
  <si>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</si>
  <si>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</si>
  <si>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</si>
  <si>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</si>
  <si>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</si>
  <si>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</si>
  <si>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</si>
  <si>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</si>
  <si>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</si>
  <si>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</si>
  <si>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</si>
  <si>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</si>
  <si>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</si>
  <si>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</si>
  <si>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</si>
  <si>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</si>
  <si>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</si>
  <si>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</si>
  <si>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</si>
  <si>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</si>
  <si>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</si>
  <si>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</si>
  <si>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</si>
  <si>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</si>
  <si>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</si>
  <si>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</si>
  <si>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</si>
  <si>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</si>
  <si>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</si>
  <si>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</si>
  <si>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</si>
  <si>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</si>
  <si>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</si>
  <si>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</si>
  <si>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</si>
  <si>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</si>
  <si>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</si>
  <si>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</si>
  <si>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</si>
  <si>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</si>
  <si>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</si>
  <si>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</si>
  <si>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</si>
  <si>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</si>
  <si>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</si>
  <si>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</si>
  <si>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</si>
  <si>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</si>
  <si>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</si>
  <si>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</si>
  <si>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</si>
  <si>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</si>
  <si>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</si>
  <si>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</si>
  <si>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</si>
  <si>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</si>
  <si>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</si>
  <si>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</si>
  <si>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</si>
  <si>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</si>
  <si>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</si>
  <si>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</si>
  <si>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</si>
  <si>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</si>
  <si>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</si>
  <si>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</si>
  <si>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</si>
  <si>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</si>
  <si>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</si>
  <si>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</si>
  <si>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</si>
  <si>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</si>
  <si>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</si>
  <si>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</si>
  <si>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</si>
  <si>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</si>
  <si>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</si>
  <si>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</si>
  <si>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</si>
  <si>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</si>
  <si>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</si>
  <si>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</si>
  <si>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</si>
  <si>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</si>
  <si>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</si>
  <si>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</si>
  <si>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</si>
  <si>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</si>
  <si>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</si>
  <si>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</si>
  <si>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</si>
  <si>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</si>
  <si>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</si>
  <si>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</si>
  <si>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</si>
  <si>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</si>
  <si>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</si>
  <si>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</si>
  <si>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</si>
  <si>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</si>
  <si>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</si>
  <si>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</si>
  <si>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</si>
  <si>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</si>
  <si>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</si>
  <si>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</si>
  <si>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</si>
  <si>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</si>
  <si>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</si>
  <si>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</si>
  <si>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</si>
  <si>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</si>
  <si>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</si>
  <si>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</si>
  <si>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</si>
  <si>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</si>
  <si>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</si>
  <si>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</si>
  <si>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</si>
  <si>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</si>
  <si>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</si>
  <si>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</si>
  <si>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</si>
  <si>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</si>
  <si>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</si>
  <si>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</si>
  <si>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</si>
  <si>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</si>
  <si>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</si>
  <si>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</si>
  <si>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</si>
  <si>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</si>
  <si>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</si>
  <si>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</si>
  <si>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</si>
  <si>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</si>
  <si>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</si>
  <si>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</si>
  <si>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</si>
  <si>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</si>
  <si>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</si>
  <si>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</si>
  <si>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</si>
  <si>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</si>
  <si>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</si>
  <si>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</si>
  <si>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</si>
  <si>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</si>
  <si>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</si>
  <si>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</si>
  <si>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</si>
  <si>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</si>
  <si>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</si>
  <si>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</si>
  <si>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</si>
  <si>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</si>
  <si>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</si>
  <si>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</si>
  <si>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</si>
  <si>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</si>
  <si>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</si>
  <si>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</si>
  <si>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</si>
  <si>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</si>
  <si>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</si>
  <si>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</si>
  <si>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</si>
  <si>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</si>
  <si>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</si>
  <si>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</si>
  <si>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</si>
  <si>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</si>
  <si>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</si>
  <si>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</si>
  <si>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</si>
  <si>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</si>
  <si>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</si>
  <si>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</si>
  <si>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</si>
  <si>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</si>
  <si>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</si>
  <si>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</si>
  <si>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</si>
  <si>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</si>
  <si>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</si>
  <si>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</si>
  <si>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</si>
  <si>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</si>
  <si>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</si>
  <si>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</si>
  <si>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</si>
  <si>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</si>
  <si>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</si>
  <si>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</si>
  <si>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</si>
  <si>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</si>
  <si>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</si>
  <si>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</si>
  <si>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</si>
  <si>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</si>
  <si>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</si>
  <si>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</si>
  <si>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</si>
  <si>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</si>
  <si>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</si>
  <si>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</si>
  <si>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</si>
  <si>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</si>
  <si>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</si>
  <si>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</si>
  <si>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</si>
  <si>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</si>
  <si>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</si>
  <si>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</si>
  <si>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</si>
  <si>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</si>
  <si>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</si>
  <si>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</si>
  <si>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</si>
  <si>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</si>
  <si>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</si>
  <si>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</si>
  <si>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</si>
  <si>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</si>
  <si>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</si>
  <si>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</si>
  <si>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</si>
  <si>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</si>
  <si>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</si>
  <si>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</si>
  <si>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</si>
  <si>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</si>
  <si>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</si>
  <si>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</si>
  <si>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</si>
  <si>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</si>
  <si>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</si>
  <si>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</si>
  <si>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</si>
  <si>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</si>
  <si>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</si>
  <si>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</si>
  <si>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</si>
  <si>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</si>
  <si>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</si>
  <si>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</si>
  <si>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</si>
  <si>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</si>
  <si>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</si>
  <si>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</si>
  <si>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</si>
  <si>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</si>
  <si>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</si>
  <si>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</si>
  <si>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</si>
  <si>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</si>
  <si>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</si>
  <si>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</si>
  <si>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</si>
  <si>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</si>
  <si>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</si>
  <si>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</si>
  <si>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</si>
  <si>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</si>
  <si>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</si>
  <si>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</si>
  <si>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</si>
  <si>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</si>
  <si>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</si>
  <si>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</si>
  <si>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</si>
  <si>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</si>
  <si>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</si>
  <si>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</si>
  <si>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</si>
  <si>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</si>
  <si>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</si>
  <si>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</si>
  <si>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</si>
  <si>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</si>
  <si>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</si>
  <si>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</si>
  <si>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</si>
  <si>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</si>
  <si>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</si>
  <si>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</si>
  <si>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</si>
  <si>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</si>
  <si>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</si>
  <si>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</si>
  <si>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</si>
  <si>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</si>
  <si>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</si>
  <si>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</si>
  <si>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</si>
  <si>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</si>
  <si>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</si>
  <si>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</si>
  <si>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</si>
  <si>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</si>
  <si>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</si>
  <si>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</si>
  <si>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</si>
  <si>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</si>
  <si>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</si>
  <si>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</si>
  <si>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</si>
  <si>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</si>
  <si>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</si>
  <si>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</si>
  <si>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</si>
  <si>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</si>
  <si>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</si>
  <si>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</si>
  <si>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</si>
  <si>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</si>
  <si>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</si>
  <si>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</si>
  <si>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</si>
  <si>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</si>
  <si>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</si>
  <si>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</si>
  <si>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</si>
  <si>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</si>
  <si>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</si>
  <si>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</si>
  <si>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</si>
  <si>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</si>
  <si>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</si>
  <si>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</si>
  <si>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</si>
  <si>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</si>
  <si>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</si>
  <si>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</si>
  <si>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</si>
  <si>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</si>
  <si>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</si>
  <si>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</si>
  <si>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</si>
  <si>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</si>
  <si>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</si>
  <si>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</si>
  <si>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</si>
  <si>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</si>
  <si>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</si>
  <si>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</si>
  <si>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</si>
  <si>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</si>
  <si>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</si>
  <si>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</si>
  <si>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</si>
  <si>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</si>
  <si>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</si>
  <si>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</si>
  <si>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</si>
  <si>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</si>
  <si>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</si>
  <si>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</si>
  <si>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</si>
  <si>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</si>
  <si>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</si>
  <si>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</si>
  <si>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</si>
  <si>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</si>
  <si>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</si>
  <si>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</si>
  <si>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</si>
  <si>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</si>
  <si>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</si>
  <si>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</si>
  <si>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</si>
  <si>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</si>
  <si>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</si>
  <si>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</si>
  <si>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</si>
  <si>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</si>
  <si>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</si>
  <si>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</si>
  <si>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</si>
  <si>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</si>
  <si>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</si>
  <si>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</si>
  <si>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</si>
  <si>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</si>
  <si>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</si>
  <si>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</si>
  <si>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</si>
  <si>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</si>
  <si>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</si>
  <si>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</si>
  <si>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</si>
  <si>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</si>
  <si>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</si>
  <si>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</si>
  <si>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</si>
  <si>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</si>
  <si>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</si>
  <si>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</si>
  <si>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</si>
  <si>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</si>
  <si>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</si>
  <si>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</si>
  <si>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</si>
  <si>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</si>
  <si>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</si>
  <si>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</si>
  <si>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</si>
  <si>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</si>
  <si>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</si>
  <si>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</si>
  <si>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</si>
  <si>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</si>
  <si>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</si>
  <si>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</si>
  <si>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</si>
  <si>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</si>
  <si>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</si>
  <si>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</si>
  <si>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</si>
  <si>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</si>
  <si>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</si>
  <si>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</si>
  <si>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</si>
  <si>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</si>
  <si>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</si>
  <si>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</si>
  <si>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</si>
  <si>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</si>
  <si>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</si>
  <si>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</si>
  <si>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</si>
  <si>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</si>
  <si>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</si>
  <si>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</si>
  <si>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</si>
  <si>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</si>
  <si>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</si>
  <si>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</si>
  <si>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</si>
  <si>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</si>
  <si>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</si>
  <si>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</si>
  <si>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</si>
  <si>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</si>
  <si>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</si>
  <si>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</si>
  <si>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</si>
  <si>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</si>
  <si>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</si>
  <si>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</si>
  <si>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</si>
  <si>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</si>
  <si>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</si>
  <si>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</si>
  <si>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</si>
  <si>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</si>
  <si>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</si>
  <si>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</si>
  <si>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</si>
  <si>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</si>
  <si>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</si>
  <si>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</si>
  <si>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</si>
  <si>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</si>
  <si>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</si>
  <si>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</si>
  <si>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</si>
  <si>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</si>
  <si>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</si>
  <si>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</si>
  <si>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</si>
  <si>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</si>
  <si>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</si>
  <si>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</si>
  <si>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</si>
  <si>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</si>
  <si>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</si>
  <si>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</si>
  <si>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</si>
  <si>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</si>
  <si>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</si>
  <si>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</si>
  <si>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</si>
  <si>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</si>
  <si>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</si>
  <si>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</si>
  <si>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</si>
  <si>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</si>
  <si>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</si>
  <si>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</si>
  <si>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</si>
  <si>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</si>
  <si>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</si>
  <si>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</si>
  <si>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</si>
  <si>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</si>
  <si>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</si>
  <si>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</si>
  <si>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</si>
  <si>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</si>
  <si>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</si>
  <si>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</si>
  <si>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</si>
  <si>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</si>
  <si>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</si>
  <si>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</si>
  <si>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</si>
  <si>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</si>
  <si>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</si>
  <si>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</si>
  <si>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</si>
  <si>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</si>
  <si>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</si>
  <si>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</si>
  <si>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</si>
  <si>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</si>
  <si>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</si>
  <si>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</si>
  <si>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</si>
  <si>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</si>
  <si>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</si>
  <si>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</si>
  <si>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</si>
  <si>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</si>
  <si>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</si>
  <si>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</si>
  <si>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</si>
  <si>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</si>
  <si>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</si>
  <si>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</si>
  <si>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</si>
  <si>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</si>
  <si>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</si>
  <si>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</si>
  <si>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</si>
  <si>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</si>
  <si>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</si>
  <si>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</si>
  <si>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</si>
  <si>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</si>
  <si>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</si>
  <si>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</si>
  <si>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</si>
  <si>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</si>
  <si>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</si>
  <si>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</si>
  <si>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</si>
  <si>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</si>
  <si>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</si>
  <si>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</si>
  <si>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</si>
  <si>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</si>
  <si>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</si>
  <si>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</si>
  <si>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</si>
  <si>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</si>
  <si>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</si>
  <si>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</si>
  <si>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</si>
  <si>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</si>
  <si>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</si>
  <si>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</si>
  <si>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</si>
  <si>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</si>
  <si>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</si>
  <si>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</si>
  <si>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</si>
  <si>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</si>
  <si>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</si>
  <si>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</si>
  <si>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</si>
  <si>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</si>
  <si>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</si>
  <si>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</si>
  <si>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</si>
  <si>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</si>
  <si>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</si>
  <si>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</si>
  <si>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</si>
  <si>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</si>
  <si>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</si>
  <si>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</si>
  <si>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</si>
  <si>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</si>
  <si>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</si>
  <si>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</si>
  <si>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</si>
  <si>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</si>
  <si>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</si>
  <si>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</si>
  <si>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</si>
  <si>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</si>
  <si>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</si>
  <si>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</si>
  <si>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</si>
  <si>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</si>
  <si>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</si>
  <si>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</si>
  <si>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</si>
  <si>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</si>
  <si>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</si>
  <si>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</si>
  <si>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</si>
  <si>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</si>
  <si>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</si>
  <si>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</si>
  <si>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</si>
  <si>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</si>
  <si>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</si>
  <si>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</si>
  <si>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</si>
  <si>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</si>
  <si>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</si>
  <si>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</si>
  <si>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</si>
  <si>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</si>
  <si>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</si>
  <si>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</si>
  <si>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</si>
  <si>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</si>
  <si>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</si>
  <si>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</si>
  <si>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</si>
  <si>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</si>
  <si>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</si>
  <si>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</si>
  <si>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</si>
  <si>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</si>
  <si>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</si>
  <si>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</si>
  <si>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</si>
  <si>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</si>
  <si>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</si>
  <si>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</si>
  <si>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</si>
  <si>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</si>
  <si>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</si>
  <si>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</si>
  <si>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</si>
  <si>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</si>
  <si>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</si>
  <si>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</si>
  <si>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</si>
  <si>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</si>
  <si>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</si>
  <si>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</si>
  <si>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</si>
  <si>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</si>
  <si>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</si>
  <si>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</si>
  <si>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</si>
  <si>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</si>
  <si>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</si>
  <si>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</si>
  <si>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</si>
  <si>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</si>
  <si>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</si>
  <si>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</si>
  <si>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</si>
  <si>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</si>
  <si>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</si>
  <si>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</si>
  <si>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</si>
  <si>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</si>
  <si>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</si>
  <si>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</si>
  <si>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</si>
  <si>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</si>
  <si>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</si>
  <si>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</si>
  <si>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</si>
  <si>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</si>
  <si>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</si>
  <si>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</si>
  <si>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</si>
  <si>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</si>
  <si>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</si>
  <si>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</si>
  <si>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</si>
  <si>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</si>
  <si>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</si>
  <si>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</si>
  <si>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</si>
  <si>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</si>
  <si>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</si>
  <si>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</si>
  <si>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</si>
  <si>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</si>
  <si>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</si>
  <si>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</si>
  <si>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</si>
  <si>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</si>
  <si>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</si>
  <si>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</si>
  <si>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</si>
  <si>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</si>
  <si>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</si>
  <si>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</si>
  <si>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</si>
  <si>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</si>
  <si>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</si>
  <si>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</si>
  <si>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</si>
  <si>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</si>
  <si>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</si>
  <si>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</si>
  <si>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</si>
  <si>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</si>
  <si>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</si>
  <si>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</si>
  <si>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</si>
  <si>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</si>
  <si>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</si>
  <si>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</si>
  <si>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</si>
  <si>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</si>
  <si>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</si>
  <si>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</si>
  <si>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</si>
  <si>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</si>
  <si>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</si>
  <si>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</si>
  <si>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</si>
  <si>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</si>
  <si>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</si>
  <si>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</si>
  <si>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</si>
  <si>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</si>
  <si>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</si>
  <si>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</si>
  <si>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</si>
  <si>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</si>
  <si>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</si>
  <si>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</si>
  <si>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</si>
  <si>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</si>
  <si>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</si>
  <si>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</si>
  <si>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</si>
  <si>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</si>
  <si>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</si>
  <si>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</si>
  <si>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</si>
  <si>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</si>
  <si>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</si>
  <si>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</si>
  <si>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</si>
  <si>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</si>
  <si>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</si>
  <si>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</si>
  <si>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</si>
  <si>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</si>
  <si>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</si>
  <si>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</si>
  <si>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</si>
  <si>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</si>
  <si>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</si>
  <si>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</si>
  <si>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</si>
  <si>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</si>
  <si>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</si>
  <si>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</si>
  <si>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</si>
  <si>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</si>
  <si>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</si>
  <si>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</si>
  <si>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</si>
  <si>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</si>
  <si>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</si>
  <si>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</si>
  <si>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</si>
  <si>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</si>
  <si>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</si>
  <si>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</si>
  <si>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</si>
  <si>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</si>
  <si>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</si>
  <si>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</si>
  <si>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</si>
  <si>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</si>
  <si>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</si>
  <si>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</si>
  <si>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</si>
  <si>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</si>
  <si>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</si>
  <si>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</si>
  <si>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</si>
  <si>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</si>
  <si>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</si>
  <si>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</si>
  <si>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</si>
  <si>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</si>
  <si>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</si>
  <si>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</si>
  <si>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</si>
  <si>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</si>
  <si>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</si>
  <si>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</si>
  <si>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</si>
  <si>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</si>
  <si>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</si>
  <si>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</si>
  <si>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</si>
  <si>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</si>
  <si>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</si>
  <si>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</si>
  <si>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</si>
  <si>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</si>
  <si>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</si>
  <si>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</si>
  <si>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</si>
  <si>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</si>
  <si>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</si>
  <si>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</si>
  <si>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</si>
  <si>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</si>
  <si>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</si>
  <si>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</si>
  <si>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</si>
  <si>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</si>
  <si>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</si>
  <si>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</si>
  <si>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</si>
  <si>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</si>
  <si>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</si>
  <si>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</si>
  <si>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</si>
  <si>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</si>
  <si>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</si>
  <si>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</si>
  <si>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</si>
  <si>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</si>
  <si>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</si>
  <si>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</si>
  <si>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</si>
  <si>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</si>
  <si>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</si>
  <si>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</si>
  <si>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</si>
  <si>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</si>
  <si>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</si>
  <si>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</si>
  <si>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</si>
  <si>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</si>
  <si>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</si>
  <si>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</si>
  <si>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</si>
  <si>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</si>
  <si>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</si>
  <si>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</si>
  <si>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</si>
  <si>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</si>
  <si>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</si>
  <si>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</si>
  <si>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</si>
  <si>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</si>
  <si>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</si>
  <si>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</si>
  <si>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</si>
  <si>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</si>
  <si>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</si>
  <si>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</si>
  <si>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</si>
  <si>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</si>
  <si>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</si>
  <si>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</si>
  <si>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</si>
  <si>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</si>
  <si>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</si>
  <si>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</si>
  <si>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</si>
  <si>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</si>
  <si>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</si>
  <si>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</si>
  <si>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</si>
  <si>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</si>
  <si>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</si>
  <si>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</si>
  <si>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</si>
  <si>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</si>
  <si>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</si>
  <si>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</si>
  <si>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</si>
  <si>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</si>
  <si>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</si>
  <si>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</si>
  <si>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</si>
  <si>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</si>
  <si>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</si>
  <si>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</si>
  <si>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</si>
  <si>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</si>
  <si>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</si>
  <si>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</si>
  <si>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</si>
  <si>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</si>
  <si>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</si>
  <si>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</si>
  <si>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</si>
  <si>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08/15/2007</t>
  </si>
  <si>
    <t>08/05/2027</t>
  </si>
  <si>
    <t>Newport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</si>
</sst>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401</v>
      </c>
      <c r="C2" s="21">
        <v>401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461981.28</v>
      </c>
      <c r="G9" s="18">
        <v>200</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130648.24-7870.02-270.6</f>
        <v>122507.62</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26802</v>
      </c>
      <c r="G13" s="18">
        <v>60927.1</v>
      </c>
      <c r="H13" s="18">
        <f>216604.25-10422</f>
        <v>206182.25</v>
      </c>
      <c r="I13" s="18"/>
      <c r="J13" s="67">
        <f>SUM(I443)</f>
        <v>404826</v>
      </c>
      <c r="K13" s="24" t="s">
        <v>288</v>
      </c>
      <c r="L13" s="24" t="s">
        <v>288</v>
      </c>
      <c r="M13" s="8"/>
      <c r="N13" s="266"/>
    </row>
    <row r="14" spans="1:14" s="3" customFormat="1" ht="12.2" customHeight="1" x14ac:dyDescent="0.15">
      <c r="A14" s="1" t="s">
        <v>565</v>
      </c>
      <c r="B14" s="2" t="s">
        <v>289</v>
      </c>
      <c r="C14" s="6">
        <v>6</v>
      </c>
      <c r="D14" s="2" t="s">
        <v>428</v>
      </c>
      <c r="E14" s="6">
        <v>150</v>
      </c>
      <c r="F14" s="18">
        <v>157613.54</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9545.65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768904.44000000006</v>
      </c>
      <c r="G19" s="41">
        <f>SUM(G9:G18)</f>
        <v>70672.75</v>
      </c>
      <c r="H19" s="41">
        <f>SUM(H9:H18)</f>
        <v>206182.25</v>
      </c>
      <c r="I19" s="41">
        <f>SUM(I9:I18)</f>
        <v>0</v>
      </c>
      <c r="J19" s="41">
        <f>SUM(J9:J18)</f>
        <v>404826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32701.21</v>
      </c>
      <c r="H22" s="18">
        <f>97947.03-7870.02-270.6</f>
        <v>89806.409999999989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f>28832.33+4827.69</f>
        <v>33660.020000000004</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707504.27</v>
      </c>
      <c r="G24" s="18">
        <v>11633</v>
      </c>
      <c r="H24" s="18">
        <f>30111.74-10422+74.27</f>
        <v>19764.010000000002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48915.34</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4421.1099999999997</v>
      </c>
      <c r="H30" s="18">
        <v>2855.62</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v>6766.17</v>
      </c>
      <c r="H31" s="18">
        <v>10534.07</v>
      </c>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756419.61</v>
      </c>
      <c r="G32" s="41">
        <f>SUM(G22:G31)</f>
        <v>55521.49</v>
      </c>
      <c r="H32" s="41">
        <f>SUM(H22:H31)</f>
        <v>156620.13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9545.65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29020.93+448988.57-472403.89</f>
        <v>5605.609999999986</v>
      </c>
      <c r="H48" s="18">
        <v>49562.12</v>
      </c>
      <c r="I48" s="18"/>
      <c r="J48" s="13">
        <f>SUM(I460)</f>
        <v>404826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437217.64+17478539.03-17895131.22-7870.02-270.6</f>
        <v>12484.830000002979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12484.830000002979</v>
      </c>
      <c r="G51" s="41">
        <f>SUM(G35:G50)</f>
        <v>15151.259999999986</v>
      </c>
      <c r="H51" s="41">
        <f>SUM(H35:H50)</f>
        <v>49562.12</v>
      </c>
      <c r="I51" s="41">
        <f>SUM(I35:I50)</f>
        <v>0</v>
      </c>
      <c r="J51" s="41">
        <f>SUM(J35:J50)</f>
        <v>404826</v>
      </c>
      <c r="K51" s="45" t="s">
        <v>288</v>
      </c>
      <c r="L51" s="45" t="s">
        <v>288</v>
      </c>
      <c r="N51" s="264"/>
    </row>
    <row r="52" spans="1:14" s="3" customFormat="1" ht="12.2" customHeight="1" thickTop="1" x14ac:dyDescent="0.15">
      <c r="A52" s="38" t="s">
        <v>455</v>
      </c>
      <c r="B52" s="39" t="s">
        <v>289</v>
      </c>
      <c r="C52" s="6">
        <v>37</v>
      </c>
      <c r="D52" s="39" t="s">
        <v>653</v>
      </c>
      <c r="E52" s="39"/>
      <c r="F52" s="41">
        <f>F51+F32</f>
        <v>768904.44000000297</v>
      </c>
      <c r="G52" s="41">
        <f>G51+G32</f>
        <v>70672.749999999985</v>
      </c>
      <c r="H52" s="41">
        <f>H51+H32</f>
        <v>206182.25</v>
      </c>
      <c r="I52" s="41">
        <f>I51+I32</f>
        <v>0</v>
      </c>
      <c r="J52" s="41">
        <f>J51+J32</f>
        <v>404826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7655155-891709</f>
        <v>6763446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6763446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5509.6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5600</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410379+28607.14+297171+72197.41+139410+41993.19+18767+288037.5+265820.47</f>
        <v>1562382.71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f>6920.67+515.1+1834.55+39186.22+69337.15+13486.96</f>
        <v>131280.65</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44427.44</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1749200.4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10696.61</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91497.09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5000</f>
        <v>5000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-249.61-107.95-140.73-10349.78+8748.16+10.71+1000</f>
        <v>-1089.1999999999998</v>
      </c>
      <c r="G110" s="18"/>
      <c r="H110" s="18">
        <f>3000+500+4299+5000</f>
        <v>12799</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9607.41</v>
      </c>
      <c r="G111" s="41">
        <f>SUM(G96:G110)</f>
        <v>91497.09</v>
      </c>
      <c r="H111" s="41">
        <f>SUM(H96:H110)</f>
        <v>17799</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8522253.8100000005</v>
      </c>
      <c r="G112" s="41">
        <f>G60+G111</f>
        <v>91497.09</v>
      </c>
      <c r="H112" s="41">
        <f>H60+H79+H94+H111</f>
        <v>17799</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7074341.94+12366</f>
        <v>7086707.9400000004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890709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f>3393+142</f>
        <v>3535</v>
      </c>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7977416.9400000004</v>
      </c>
      <c r="G121" s="41">
        <f>SUM(G117:G120)</f>
        <v>0</v>
      </c>
      <c r="H121" s="41">
        <f>SUM(H117:H120)</f>
        <v>3535</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339729.59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283030.69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81067.72</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2202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6582.6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706030</v>
      </c>
      <c r="G136" s="41">
        <f>SUM(G123:G135)</f>
        <v>6582.6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8683446.9400000013</v>
      </c>
      <c r="G140" s="41">
        <f>G121+SUM(G136:G137)</f>
        <v>6582.6</v>
      </c>
      <c r="H140" s="41">
        <f>H121+SUM(H136:H139)</f>
        <v>3535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31228.78</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31228.78</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28869+391290+48677+7248+92475+18355+1671-5884</f>
        <v>582701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15189+33101+32262+2680+28311+330+159630-10422+620</f>
        <v>261701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13018+62272+66-10468-66</f>
        <v>64822</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212342.01+102189.61+36377.26</f>
        <v>350908.88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110753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241609.5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36157.46</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241609.5</v>
      </c>
      <c r="G163" s="41">
        <f>SUM(G150:G162)</f>
        <v>387066.34</v>
      </c>
      <c r="H163" s="41">
        <f>SUM(H150:H162)</f>
        <v>1019977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272838.28000000003</v>
      </c>
      <c r="G170" s="41">
        <f>G147+G163+SUM(G164:G169)</f>
        <v>387066.34</v>
      </c>
      <c r="H170" s="41">
        <f>H147+H163+SUM(H164:H169)</f>
        <v>1019977</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36840</v>
      </c>
      <c r="H180" s="18">
        <v>24429</v>
      </c>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36840</v>
      </c>
      <c r="H184" s="41">
        <f>SUM(H180:H183)</f>
        <v>24429</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36840</v>
      </c>
      <c r="H193" s="41">
        <f>+H184+SUM(H189:H192)</f>
        <v>24429</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17478539.030000001</v>
      </c>
      <c r="G194" s="47">
        <f>G112+G140+G170+G193</f>
        <v>521986.03</v>
      </c>
      <c r="H194" s="47">
        <f>H112+H140+H170+H193</f>
        <v>1065740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1302886+1637</f>
        <v>1304523</v>
      </c>
      <c r="G198" s="18">
        <f>670345+124+183+9</f>
        <v>670661</v>
      </c>
      <c r="H198" s="18">
        <v>4227</v>
      </c>
      <c r="I198" s="18">
        <v>39277</v>
      </c>
      <c r="J198" s="18">
        <v>401</v>
      </c>
      <c r="K198" s="18"/>
      <c r="L198" s="19">
        <f>SUM(F198:K198)</f>
        <v>2019089</v>
      </c>
      <c r="M198" s="8"/>
      <c r="N198" s="266"/>
    </row>
    <row r="199" spans="1:14" s="3" customFormat="1" ht="12.2" customHeight="1" x14ac:dyDescent="0.15">
      <c r="A199" s="1" t="s">
        <v>439</v>
      </c>
      <c r="B199" s="2" t="s">
        <v>341</v>
      </c>
      <c r="C199" s="2" t="s">
        <v>291</v>
      </c>
      <c r="D199" s="2" t="s">
        <v>431</v>
      </c>
      <c r="E199" s="6">
        <v>1200</v>
      </c>
      <c r="F199" s="18">
        <f>1023210+38397+50293</f>
        <v>1111900</v>
      </c>
      <c r="G199" s="18">
        <f>426408+69745+1542+58+146+6682+9325+483</f>
        <v>514389</v>
      </c>
      <c r="H199" s="18">
        <f>289715+69586</f>
        <v>359301</v>
      </c>
      <c r="I199" s="18">
        <v>3563</v>
      </c>
      <c r="J199" s="18">
        <v>3225</v>
      </c>
      <c r="K199" s="18">
        <v>426</v>
      </c>
      <c r="L199" s="19">
        <f>SUM(F199:K199)</f>
        <v>1992804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1000+3005</f>
        <v>4005</v>
      </c>
      <c r="G201" s="18">
        <f>71+112+5+230+535+16</f>
        <v>969</v>
      </c>
      <c r="H201" s="18"/>
      <c r="I201" s="18"/>
      <c r="J201" s="18"/>
      <c r="K201" s="18"/>
      <c r="L201" s="19">
        <f>SUM(F201:K201)</f>
        <v>4974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27284+19867+208+45404+262752</f>
        <v>355515</v>
      </c>
      <c r="G203" s="18">
        <f>40+113+3362+6696+247+1+7+37+3536+15+1331+50+32+178+11692+149+2087+159253</f>
        <v>188826</v>
      </c>
      <c r="H203" s="18">
        <f>23003+3156+15+16800+103338</f>
        <v>146312</v>
      </c>
      <c r="I203" s="18">
        <v>4705</v>
      </c>
      <c r="J203" s="18"/>
      <c r="K203" s="18"/>
      <c r="L203" s="19">
        <f t="shared" ref="L203:L209" si="0">SUM(F203:K203)</f>
        <v>695358</v>
      </c>
      <c r="M203" s="8"/>
      <c r="N203" s="266"/>
    </row>
    <row r="204" spans="1:14" s="3" customFormat="1" ht="12.2" customHeight="1" x14ac:dyDescent="0.15">
      <c r="A204" s="1" t="s">
        <v>443</v>
      </c>
      <c r="B204" s="2" t="s">
        <v>341</v>
      </c>
      <c r="C204" s="2" t="s">
        <v>295</v>
      </c>
      <c r="D204" s="2" t="s">
        <v>431</v>
      </c>
      <c r="E204" s="6">
        <v>2200</v>
      </c>
      <c r="F204" s="18">
        <f>24651-365+15841+462+6719+21925+36649+778+42271</f>
        <v>148931</v>
      </c>
      <c r="G204" s="18">
        <f>2515+21927+325+91+158+4838+9631+-28+1204+2741+40+290+1278+32+50+1915+2315+1860+90+26594</f>
        <v>77866</v>
      </c>
      <c r="H204" s="18">
        <f>6162+256+2279+496+4513+44077</f>
        <v>57783</v>
      </c>
      <c r="I204" s="18">
        <f>8+19274+8573</f>
        <v>27855</v>
      </c>
      <c r="J204" s="18">
        <f>14780+65207</f>
        <v>79987</v>
      </c>
      <c r="K204" s="18">
        <v>153</v>
      </c>
      <c r="L204" s="19">
        <f t="shared" si="0"/>
        <v>392575</v>
      </c>
      <c r="M204" s="8"/>
      <c r="N204" s="266"/>
    </row>
    <row r="205" spans="1:14" s="3" customFormat="1" ht="12.2" customHeight="1" x14ac:dyDescent="0.15">
      <c r="A205" s="1" t="s">
        <v>444</v>
      </c>
      <c r="B205" s="2" t="s">
        <v>341</v>
      </c>
      <c r="C205" s="2" t="s">
        <v>296</v>
      </c>
      <c r="D205" s="2" t="s">
        <v>431</v>
      </c>
      <c r="E205" s="6">
        <v>2300</v>
      </c>
      <c r="F205" s="18">
        <f>6639+3153+52298+13503+1027+16598+85+65000+17072</f>
        <v>175375</v>
      </c>
      <c r="G205" s="18">
        <f>749+43+14249+178+97+149+5787+8171+89+12242+151+43+1127+1862+3+20324+417+105+195+5982+13477+12</f>
        <v>85452</v>
      </c>
      <c r="H205" s="18">
        <f>720+5610+10675+25360+1918+1262+2134</f>
        <v>47679</v>
      </c>
      <c r="I205" s="18">
        <f>386+2252</f>
        <v>2638</v>
      </c>
      <c r="J205" s="18">
        <v>456</v>
      </c>
      <c r="K205" s="18">
        <f>277+1965</f>
        <v>2242</v>
      </c>
      <c r="L205" s="19">
        <f t="shared" si="0"/>
        <v>313842</v>
      </c>
      <c r="M205" s="8"/>
      <c r="N205" s="266"/>
    </row>
    <row r="206" spans="1:14" s="3" customFormat="1" ht="12.2" customHeight="1" x14ac:dyDescent="0.15">
      <c r="A206" s="1" t="s">
        <v>445</v>
      </c>
      <c r="B206" s="2" t="s">
        <v>341</v>
      </c>
      <c r="C206" s="2" t="s">
        <v>297</v>
      </c>
      <c r="D206" s="2" t="s">
        <v>431</v>
      </c>
      <c r="E206" s="6">
        <v>2400</v>
      </c>
      <c r="F206" s="18">
        <v>208957</v>
      </c>
      <c r="G206" s="18">
        <v>99162</v>
      </c>
      <c r="H206" s="18">
        <v>2847</v>
      </c>
      <c r="I206" s="18">
        <v>182</v>
      </c>
      <c r="J206" s="18">
        <v>735</v>
      </c>
      <c r="K206" s="18"/>
      <c r="L206" s="19">
        <f t="shared" si="0"/>
        <v>311883</v>
      </c>
      <c r="M206" s="8"/>
      <c r="N206" s="266"/>
    </row>
    <row r="207" spans="1:14" s="3" customFormat="1" ht="12.2" customHeight="1" x14ac:dyDescent="0.15">
      <c r="A207" s="1" t="s">
        <v>446</v>
      </c>
      <c r="B207" s="2" t="s">
        <v>341</v>
      </c>
      <c r="C207" s="2" t="s">
        <v>298</v>
      </c>
      <c r="D207" s="2" t="s">
        <v>431</v>
      </c>
      <c r="E207" s="6">
        <v>2500</v>
      </c>
      <c r="F207" s="18">
        <f>57190+65930+3131</f>
        <v>126251</v>
      </c>
      <c r="G207" s="18">
        <f>52399+889+161+248+9077+11557-417</f>
        <v>73914</v>
      </c>
      <c r="H207" s="18">
        <f>28693+230+1602+199+1337</f>
        <v>32061</v>
      </c>
      <c r="I207" s="18">
        <f>3865+4976</f>
        <v>8841</v>
      </c>
      <c r="J207" s="18">
        <v>574</v>
      </c>
      <c r="K207" s="18">
        <v>430</v>
      </c>
      <c r="L207" s="19">
        <f t="shared" si="0"/>
        <v>242071</v>
      </c>
      <c r="M207" s="8"/>
      <c r="N207" s="266"/>
    </row>
    <row r="208" spans="1:14" s="3" customFormat="1" ht="12.2" customHeight="1" x14ac:dyDescent="0.15">
      <c r="A208" s="1" t="s">
        <v>447</v>
      </c>
      <c r="B208" s="2" t="s">
        <v>341</v>
      </c>
      <c r="C208" s="2" t="s">
        <v>299</v>
      </c>
      <c r="D208" s="2" t="s">
        <v>431</v>
      </c>
      <c r="E208" s="6">
        <v>2600</v>
      </c>
      <c r="F208" s="18">
        <f>17984+22039+2957+74694+5969</f>
        <v>123643</v>
      </c>
      <c r="G208" s="18">
        <f>9804+172+27+94+3177+41071+1268+186+5692+8991+1348+4472+243</f>
        <v>76545</v>
      </c>
      <c r="H208" s="18">
        <f>7924+958+3745+1398+1580+27631+4403+690+34+87064+17046+14705+7192+224344+20665</f>
        <v>419379</v>
      </c>
      <c r="I208" s="18">
        <f>29129+45197+698+41214+5759+4792+475+14575+767+254</f>
        <v>142860</v>
      </c>
      <c r="J208" s="18">
        <f>22909+3337</f>
        <v>26246</v>
      </c>
      <c r="K208" s="18">
        <v>387</v>
      </c>
      <c r="L208" s="19">
        <f t="shared" si="0"/>
        <v>789060</v>
      </c>
      <c r="M208" s="8"/>
      <c r="N208" s="266"/>
    </row>
    <row r="209" spans="1:14" s="3" customFormat="1" ht="12.2" customHeight="1" x14ac:dyDescent="0.15">
      <c r="A209" s="1" t="s">
        <v>448</v>
      </c>
      <c r="B209" s="2" t="s">
        <v>341</v>
      </c>
      <c r="C209" s="2" t="s">
        <v>300</v>
      </c>
      <c r="D209" s="2" t="s">
        <v>431</v>
      </c>
      <c r="E209" s="6">
        <v>2700</v>
      </c>
      <c r="F209" s="18">
        <f>4612+5262+56220+3154+16639+3586+331+16497+14754+8+386+55+260+2384+934</f>
        <v>125082</v>
      </c>
      <c r="G209" s="18">
        <f>363+1+6823+2382+3053+5821+24+2417+1130+30+20+4+3+20+29+13+182+103+71+3+35+987</f>
        <v>23514</v>
      </c>
      <c r="H209" s="18">
        <f>32280+1134+25479+11757+2472+4403+239+7783</f>
        <v>85547</v>
      </c>
      <c r="I209" s="18">
        <f>5502+8858+1213+3878+59</f>
        <v>19510</v>
      </c>
      <c r="J209" s="18">
        <f>1734</f>
        <v>1734</v>
      </c>
      <c r="K209" s="18">
        <v>471</v>
      </c>
      <c r="L209" s="19">
        <f t="shared" si="0"/>
        <v>255858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3684182</v>
      </c>
      <c r="G212" s="41">
        <f t="shared" si="1"/>
        <v>1811298</v>
      </c>
      <c r="H212" s="41">
        <f t="shared" si="1"/>
        <v>1155136</v>
      </c>
      <c r="I212" s="41">
        <f t="shared" si="1"/>
        <v>249431</v>
      </c>
      <c r="J212" s="41">
        <f t="shared" si="1"/>
        <v>113358</v>
      </c>
      <c r="K212" s="41">
        <f t="shared" si="1"/>
        <v>4109</v>
      </c>
      <c r="L212" s="41">
        <f t="shared" si="1"/>
        <v>7017514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17036+737935+2632</f>
        <v>757603</v>
      </c>
      <c r="G216" s="18">
        <f>1343+796+1970+86+19511+462093</f>
        <v>485799</v>
      </c>
      <c r="H216" s="18"/>
      <c r="I216" s="18">
        <v>9502</v>
      </c>
      <c r="J216" s="18"/>
      <c r="K216" s="18">
        <v>130</v>
      </c>
      <c r="L216" s="19">
        <f>SUM(F216:K216)</f>
        <v>1253034</v>
      </c>
      <c r="M216" s="8"/>
      <c r="N216" s="266"/>
    </row>
    <row r="217" spans="1:14" s="3" customFormat="1" ht="12.2" customHeight="1" x14ac:dyDescent="0.15">
      <c r="A217" s="1" t="s">
        <v>439</v>
      </c>
      <c r="B217" s="2" t="s">
        <v>346</v>
      </c>
      <c r="C217" s="2" t="s">
        <v>291</v>
      </c>
      <c r="D217" s="2" t="s">
        <v>431</v>
      </c>
      <c r="E217" s="6">
        <v>1200</v>
      </c>
      <c r="F217" s="18">
        <f>18+415689</f>
        <v>415707</v>
      </c>
      <c r="G217" s="18">
        <v>177879</v>
      </c>
      <c r="H217" s="18">
        <f>7539+243+5476+223830</f>
        <v>237088</v>
      </c>
      <c r="I217" s="18">
        <f>41+88+8808</f>
        <v>8937</v>
      </c>
      <c r="J217" s="18">
        <v>12654</v>
      </c>
      <c r="K217" s="18">
        <v>237</v>
      </c>
      <c r="L217" s="19">
        <f>SUM(F217:K217)</f>
        <v>852502</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4500+11000</f>
        <v>15500</v>
      </c>
      <c r="G219" s="18">
        <f>327+601+25+821+1377+123</f>
        <v>3274</v>
      </c>
      <c r="H219" s="18"/>
      <c r="I219" s="18"/>
      <c r="J219" s="18">
        <v>29</v>
      </c>
      <c r="K219" s="18"/>
      <c r="L219" s="19">
        <f>SUM(F219:K219)</f>
        <v>18803</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229371</v>
      </c>
      <c r="G221" s="18">
        <v>115177</v>
      </c>
      <c r="H221" s="18">
        <f>12788+1755+8+9339</f>
        <v>23890</v>
      </c>
      <c r="I221" s="18">
        <v>2365</v>
      </c>
      <c r="J221" s="18"/>
      <c r="K221" s="18"/>
      <c r="L221" s="19">
        <f t="shared" ref="L221:L227" si="2">SUM(F221:K221)</f>
        <v>370803</v>
      </c>
      <c r="M221" s="8"/>
      <c r="N221" s="266"/>
    </row>
    <row r="222" spans="1:14" s="3" customFormat="1" ht="12.2" customHeight="1" x14ac:dyDescent="0.15">
      <c r="A222" s="1" t="s">
        <v>443</v>
      </c>
      <c r="B222" s="2" t="s">
        <v>346</v>
      </c>
      <c r="C222" s="2" t="s">
        <v>295</v>
      </c>
      <c r="D222" s="2" t="s">
        <v>431</v>
      </c>
      <c r="E222" s="6">
        <v>2200</v>
      </c>
      <c r="F222" s="18">
        <f>20374+12189+3735+257+8806+13704-203+432</f>
        <v>59294</v>
      </c>
      <c r="G222" s="18">
        <v>36908</v>
      </c>
      <c r="H222" s="18">
        <v>42631</v>
      </c>
      <c r="I222" s="18">
        <v>20468</v>
      </c>
      <c r="J222" s="18">
        <v>83040</v>
      </c>
      <c r="K222" s="18">
        <v>71</v>
      </c>
      <c r="L222" s="19">
        <f t="shared" si="2"/>
        <v>242412</v>
      </c>
      <c r="M222" s="8"/>
      <c r="N222" s="266"/>
    </row>
    <row r="223" spans="1:14" s="3" customFormat="1" ht="12.2" customHeight="1" x14ac:dyDescent="0.15">
      <c r="A223" s="1" t="s">
        <v>444</v>
      </c>
      <c r="B223" s="2" t="s">
        <v>346</v>
      </c>
      <c r="C223" s="2" t="s">
        <v>296</v>
      </c>
      <c r="D223" s="2" t="s">
        <v>431</v>
      </c>
      <c r="E223" s="6">
        <v>2300</v>
      </c>
      <c r="F223" s="18">
        <v>120407</v>
      </c>
      <c r="G223" s="18">
        <v>68816</v>
      </c>
      <c r="H223" s="18">
        <f>3119+5934+14096+1068+702+1186+400</f>
        <v>26505</v>
      </c>
      <c r="I223" s="18">
        <f>215+1252</f>
        <v>1467</v>
      </c>
      <c r="J223" s="18">
        <v>253</v>
      </c>
      <c r="K223" s="18">
        <f>154+1092</f>
        <v>1246</v>
      </c>
      <c r="L223" s="19">
        <f t="shared" si="2"/>
        <v>218694</v>
      </c>
      <c r="M223" s="8"/>
      <c r="N223" s="266"/>
    </row>
    <row r="224" spans="1:14" s="3" customFormat="1" ht="12.2" customHeight="1" x14ac:dyDescent="0.15">
      <c r="A224" s="1" t="s">
        <v>445</v>
      </c>
      <c r="B224" s="2" t="s">
        <v>346</v>
      </c>
      <c r="C224" s="2" t="s">
        <v>297</v>
      </c>
      <c r="D224" s="2" t="s">
        <v>431</v>
      </c>
      <c r="E224" s="6">
        <v>2400</v>
      </c>
      <c r="F224" s="18">
        <f>186092+56372+255</f>
        <v>242719</v>
      </c>
      <c r="G224" s="18">
        <f>52554+1542+175+1+591+17748+37552+306</f>
        <v>110469</v>
      </c>
      <c r="H224" s="18">
        <v>1080</v>
      </c>
      <c r="I224" s="18"/>
      <c r="J224" s="18"/>
      <c r="K224" s="18"/>
      <c r="L224" s="19">
        <f t="shared" si="2"/>
        <v>354268</v>
      </c>
      <c r="M224" s="8"/>
      <c r="N224" s="266"/>
    </row>
    <row r="225" spans="1:14" s="3" customFormat="1" ht="12.2" customHeight="1" x14ac:dyDescent="0.15">
      <c r="A225" s="1" t="s">
        <v>446</v>
      </c>
      <c r="B225" s="2" t="s">
        <v>346</v>
      </c>
      <c r="C225" s="2" t="s">
        <v>298</v>
      </c>
      <c r="D225" s="2" t="s">
        <v>431</v>
      </c>
      <c r="E225" s="6">
        <v>2500</v>
      </c>
      <c r="F225" s="18">
        <f>31793+36652+1741</f>
        <v>70186</v>
      </c>
      <c r="G225" s="18">
        <f>29129+494+89+138+5046+6425+-232</f>
        <v>41089</v>
      </c>
      <c r="H225" s="18">
        <f>15951+128+890+110+743</f>
        <v>17822</v>
      </c>
      <c r="I225" s="18">
        <f>2149+2766</f>
        <v>4915</v>
      </c>
      <c r="J225" s="18">
        <v>319</v>
      </c>
      <c r="K225" s="18">
        <v>239</v>
      </c>
      <c r="L225" s="19">
        <f t="shared" si="2"/>
        <v>134570</v>
      </c>
      <c r="M225" s="8"/>
      <c r="N225" s="266"/>
    </row>
    <row r="226" spans="1:14" s="3" customFormat="1" ht="12.2" customHeight="1" x14ac:dyDescent="0.15">
      <c r="A226" s="1" t="s">
        <v>447</v>
      </c>
      <c r="B226" s="2" t="s">
        <v>346</v>
      </c>
      <c r="C226" s="2" t="s">
        <v>299</v>
      </c>
      <c r="D226" s="2" t="s">
        <v>431</v>
      </c>
      <c r="E226" s="6">
        <v>2600</v>
      </c>
      <c r="F226" s="18">
        <v>56127</v>
      </c>
      <c r="G226" s="18">
        <v>25998</v>
      </c>
      <c r="H226" s="18">
        <v>129552</v>
      </c>
      <c r="I226" s="18">
        <v>81103</v>
      </c>
      <c r="J226" s="18">
        <v>15015</v>
      </c>
      <c r="K226" s="18">
        <v>215</v>
      </c>
      <c r="L226" s="19">
        <f t="shared" si="2"/>
        <v>308010</v>
      </c>
      <c r="M226" s="8"/>
      <c r="N226" s="266"/>
    </row>
    <row r="227" spans="1:14" s="3" customFormat="1" ht="12.2" customHeight="1" x14ac:dyDescent="0.15">
      <c r="A227" s="1" t="s">
        <v>448</v>
      </c>
      <c r="B227" s="2" t="s">
        <v>346</v>
      </c>
      <c r="C227" s="2" t="s">
        <v>300</v>
      </c>
      <c r="D227" s="2" t="s">
        <v>431</v>
      </c>
      <c r="E227" s="6">
        <v>2700</v>
      </c>
      <c r="F227" s="18">
        <v>69841</v>
      </c>
      <c r="G227" s="18">
        <v>13090</v>
      </c>
      <c r="H227" s="18">
        <v>30630</v>
      </c>
      <c r="I227" s="18">
        <f>3059+4925+674+2156+33</f>
        <v>10847</v>
      </c>
      <c r="J227" s="18">
        <v>964</v>
      </c>
      <c r="K227" s="18">
        <v>262</v>
      </c>
      <c r="L227" s="19">
        <f t="shared" si="2"/>
        <v>125634</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2036755</v>
      </c>
      <c r="G230" s="41">
        <f>SUM(G216:G229)</f>
        <v>1078499</v>
      </c>
      <c r="H230" s="41">
        <f>SUM(H216:H229)</f>
        <v>509198</v>
      </c>
      <c r="I230" s="41">
        <f>SUM(I216:I229)</f>
        <v>139604</v>
      </c>
      <c r="J230" s="41">
        <f>SUM(J216:J229)</f>
        <v>112274</v>
      </c>
      <c r="K230" s="41">
        <f t="shared" si="3"/>
        <v>2400</v>
      </c>
      <c r="L230" s="41">
        <f t="shared" si="3"/>
        <v>3878730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877796</v>
      </c>
      <c r="G234" s="18">
        <v>552574</v>
      </c>
      <c r="H234" s="18">
        <v>4400</v>
      </c>
      <c r="I234" s="18">
        <v>27396</v>
      </c>
      <c r="J234" s="18">
        <v>7747</v>
      </c>
      <c r="K234" s="18">
        <v>1147</v>
      </c>
      <c r="L234" s="19">
        <f>SUM(F234:K234)</f>
        <v>1471060</v>
      </c>
      <c r="M234" s="8"/>
      <c r="N234" s="266"/>
    </row>
    <row r="235" spans="1:14" s="3" customFormat="1" ht="12.2" customHeight="1" x14ac:dyDescent="0.15">
      <c r="A235" s="1" t="s">
        <v>439</v>
      </c>
      <c r="B235" s="2" t="s">
        <v>350</v>
      </c>
      <c r="C235" s="2" t="s">
        <v>291</v>
      </c>
      <c r="D235" s="2" t="s">
        <v>431</v>
      </c>
      <c r="E235" s="6">
        <v>1200</v>
      </c>
      <c r="F235" s="18">
        <v>256255</v>
      </c>
      <c r="G235" s="18">
        <v>141090</v>
      </c>
      <c r="H235" s="18">
        <v>606757</v>
      </c>
      <c r="I235" s="18">
        <v>2864</v>
      </c>
      <c r="J235" s="18">
        <v>1273</v>
      </c>
      <c r="K235" s="18">
        <f>337</f>
        <v>337</v>
      </c>
      <c r="L235" s="19">
        <f>SUM(F235:K235)</f>
        <v>1008576</v>
      </c>
      <c r="M235" s="8"/>
      <c r="N235" s="266"/>
    </row>
    <row r="236" spans="1:14" s="3" customFormat="1" ht="12.2" customHeight="1" x14ac:dyDescent="0.15">
      <c r="A236" s="1" t="s">
        <v>440</v>
      </c>
      <c r="B236" s="2" t="s">
        <v>350</v>
      </c>
      <c r="C236" s="2" t="s">
        <v>292</v>
      </c>
      <c r="D236" s="2" t="s">
        <v>431</v>
      </c>
      <c r="E236" s="6">
        <v>1300</v>
      </c>
      <c r="F236" s="18">
        <v>384789</v>
      </c>
      <c r="G236" s="18">
        <v>229087</v>
      </c>
      <c r="H236" s="18">
        <v>7365</v>
      </c>
      <c r="I236" s="18">
        <v>14388</v>
      </c>
      <c r="J236" s="18">
        <v>3180</v>
      </c>
      <c r="K236" s="18">
        <v>435</v>
      </c>
      <c r="L236" s="19">
        <f>SUM(F236:K236)</f>
        <v>639244</v>
      </c>
      <c r="M236" s="8"/>
      <c r="N236" s="266"/>
    </row>
    <row r="237" spans="1:14" s="3" customFormat="1" ht="12.2" customHeight="1" x14ac:dyDescent="0.15">
      <c r="A237" s="1" t="s">
        <v>441</v>
      </c>
      <c r="B237" s="2" t="s">
        <v>350</v>
      </c>
      <c r="C237" s="2" t="s">
        <v>293</v>
      </c>
      <c r="D237" s="2" t="s">
        <v>431</v>
      </c>
      <c r="E237" s="6">
        <v>1400</v>
      </c>
      <c r="F237" s="18">
        <v>151305</v>
      </c>
      <c r="G237" s="18">
        <v>32562</v>
      </c>
      <c r="H237" s="18">
        <v>43868</v>
      </c>
      <c r="I237" s="18">
        <v>10191</v>
      </c>
      <c r="J237" s="18">
        <v>11133</v>
      </c>
      <c r="K237" s="18">
        <v>8676</v>
      </c>
      <c r="L237" s="19">
        <f>SUM(F237:K237)</f>
        <v>257735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303032</v>
      </c>
      <c r="G239" s="18">
        <v>143909</v>
      </c>
      <c r="H239" s="18">
        <v>34960</v>
      </c>
      <c r="I239" s="18">
        <v>12479</v>
      </c>
      <c r="J239" s="18"/>
      <c r="K239" s="18">
        <v>179</v>
      </c>
      <c r="L239" s="19">
        <f t="shared" ref="L239:L245" si="4">SUM(F239:K239)</f>
        <v>494559</v>
      </c>
      <c r="M239" s="8"/>
      <c r="N239" s="266"/>
    </row>
    <row r="240" spans="1:14" s="3" customFormat="1" ht="12.2" customHeight="1" x14ac:dyDescent="0.15">
      <c r="A240" s="1" t="s">
        <v>443</v>
      </c>
      <c r="B240" s="2" t="s">
        <v>350</v>
      </c>
      <c r="C240" s="2" t="s">
        <v>295</v>
      </c>
      <c r="D240" s="2" t="s">
        <v>431</v>
      </c>
      <c r="E240" s="6">
        <v>2200</v>
      </c>
      <c r="F240" s="18">
        <v>169606</v>
      </c>
      <c r="G240" s="18">
        <v>90858</v>
      </c>
      <c r="H240" s="18">
        <v>69773</v>
      </c>
      <c r="I240" s="18">
        <v>34579</v>
      </c>
      <c r="J240" s="18">
        <v>92845</v>
      </c>
      <c r="K240" s="18">
        <v>116</v>
      </c>
      <c r="L240" s="19">
        <f t="shared" si="4"/>
        <v>457777</v>
      </c>
      <c r="M240" s="8"/>
      <c r="N240" s="266"/>
    </row>
    <row r="241" spans="1:14" s="3" customFormat="1" ht="12.2" customHeight="1" x14ac:dyDescent="0.15">
      <c r="A241" s="1" t="s">
        <v>444</v>
      </c>
      <c r="B241" s="2" t="s">
        <v>350</v>
      </c>
      <c r="C241" s="2" t="s">
        <v>296</v>
      </c>
      <c r="D241" s="2" t="s">
        <v>431</v>
      </c>
      <c r="E241" s="6">
        <v>2300</v>
      </c>
      <c r="F241" s="18">
        <v>148273</v>
      </c>
      <c r="G241" s="18">
        <v>70264</v>
      </c>
      <c r="H241" s="18">
        <f>4435+8441+20052+1516+998+1687+569</f>
        <v>37698</v>
      </c>
      <c r="I241" s="18">
        <f>305+1781</f>
        <v>2086</v>
      </c>
      <c r="J241" s="18">
        <v>361</v>
      </c>
      <c r="K241" s="18">
        <f>219+1554</f>
        <v>1773</v>
      </c>
      <c r="L241" s="19">
        <f t="shared" si="4"/>
        <v>260455</v>
      </c>
      <c r="M241" s="8"/>
      <c r="N241" s="266"/>
    </row>
    <row r="242" spans="1:14" s="3" customFormat="1" ht="12.2" customHeight="1" x14ac:dyDescent="0.15">
      <c r="A242" s="1" t="s">
        <v>445</v>
      </c>
      <c r="B242" s="2" t="s">
        <v>350</v>
      </c>
      <c r="C242" s="2" t="s">
        <v>297</v>
      </c>
      <c r="D242" s="2" t="s">
        <v>431</v>
      </c>
      <c r="E242" s="6">
        <v>2400</v>
      </c>
      <c r="F242" s="18">
        <v>239411</v>
      </c>
      <c r="G242" s="18">
        <v>174558</v>
      </c>
      <c r="H242" s="18">
        <v>31553</v>
      </c>
      <c r="I242" s="18">
        <v>8399</v>
      </c>
      <c r="J242" s="18">
        <v>515</v>
      </c>
      <c r="K242" s="18">
        <v>8254</v>
      </c>
      <c r="L242" s="19">
        <f t="shared" si="4"/>
        <v>462690</v>
      </c>
      <c r="M242" s="8"/>
      <c r="N242" s="266"/>
    </row>
    <row r="243" spans="1:14" s="3" customFormat="1" ht="12.2" customHeight="1" x14ac:dyDescent="0.15">
      <c r="A243" s="1" t="s">
        <v>446</v>
      </c>
      <c r="B243" s="2" t="s">
        <v>350</v>
      </c>
      <c r="C243" s="2" t="s">
        <v>298</v>
      </c>
      <c r="D243" s="2" t="s">
        <v>431</v>
      </c>
      <c r="E243" s="6">
        <v>2500</v>
      </c>
      <c r="F243" s="18">
        <f>45219+52130+2476</f>
        <v>99825</v>
      </c>
      <c r="G243" s="18">
        <f>41431+703+127+196+7177+9138-330</f>
        <v>58442</v>
      </c>
      <c r="H243" s="18">
        <f>22687+182+1266+157+1057</f>
        <v>25349</v>
      </c>
      <c r="I243" s="18">
        <f>3056+3935</f>
        <v>6991</v>
      </c>
      <c r="J243" s="18">
        <v>454</v>
      </c>
      <c r="K243" s="18">
        <v>340</v>
      </c>
      <c r="L243" s="19">
        <f t="shared" si="4"/>
        <v>191401</v>
      </c>
      <c r="M243" s="8"/>
      <c r="N243" s="266"/>
    </row>
    <row r="244" spans="1:14" s="3" customFormat="1" ht="12.2" customHeight="1" x14ac:dyDescent="0.15">
      <c r="A244" s="1" t="s">
        <v>447</v>
      </c>
      <c r="B244" s="2" t="s">
        <v>350</v>
      </c>
      <c r="C244" s="2" t="s">
        <v>299</v>
      </c>
      <c r="D244" s="2" t="s">
        <v>431</v>
      </c>
      <c r="E244" s="6">
        <v>2600</v>
      </c>
      <c r="F244" s="18">
        <v>204472</v>
      </c>
      <c r="G244" s="18">
        <v>106802</v>
      </c>
      <c r="H244" s="18">
        <v>328126</v>
      </c>
      <c r="I244" s="18">
        <v>169470</v>
      </c>
      <c r="J244" s="18">
        <v>22661</v>
      </c>
      <c r="K244" s="18">
        <v>306</v>
      </c>
      <c r="L244" s="19">
        <f t="shared" si="4"/>
        <v>831837</v>
      </c>
      <c r="M244" s="8"/>
      <c r="N244" s="266"/>
    </row>
    <row r="245" spans="1:14" s="3" customFormat="1" ht="12.2" customHeight="1" x14ac:dyDescent="0.15">
      <c r="A245" s="1" t="s">
        <v>448</v>
      </c>
      <c r="B245" s="2" t="s">
        <v>350</v>
      </c>
      <c r="C245" s="2" t="s">
        <v>300</v>
      </c>
      <c r="D245" s="2" t="s">
        <v>431</v>
      </c>
      <c r="E245" s="6">
        <v>2700</v>
      </c>
      <c r="F245" s="18">
        <v>109155</v>
      </c>
      <c r="G245" s="18">
        <v>19808</v>
      </c>
      <c r="H245" s="18">
        <v>55932</v>
      </c>
      <c r="I245" s="18">
        <f>4350+7004+959+3066+46</f>
        <v>15425</v>
      </c>
      <c r="J245" s="18">
        <v>1371</v>
      </c>
      <c r="K245" s="18">
        <v>372</v>
      </c>
      <c r="L245" s="19">
        <f t="shared" si="4"/>
        <v>202063</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2943919</v>
      </c>
      <c r="G248" s="41">
        <f t="shared" si="5"/>
        <v>1619954</v>
      </c>
      <c r="H248" s="41">
        <f t="shared" si="5"/>
        <v>1245781</v>
      </c>
      <c r="I248" s="41">
        <f t="shared" si="5"/>
        <v>304268</v>
      </c>
      <c r="J248" s="41">
        <f t="shared" si="5"/>
        <v>141540</v>
      </c>
      <c r="K248" s="41">
        <f t="shared" si="5"/>
        <v>21935</v>
      </c>
      <c r="L248" s="41">
        <f t="shared" si="5"/>
        <v>6277397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8664856</v>
      </c>
      <c r="G258" s="41">
        <f t="shared" si="8"/>
        <v>4509751</v>
      </c>
      <c r="H258" s="41">
        <f t="shared" si="8"/>
        <v>2910115</v>
      </c>
      <c r="I258" s="41">
        <f t="shared" si="8"/>
        <v>693303</v>
      </c>
      <c r="J258" s="41">
        <f t="shared" si="8"/>
        <v>367172</v>
      </c>
      <c r="K258" s="41">
        <f t="shared" si="8"/>
        <v>28444</v>
      </c>
      <c r="L258" s="41">
        <f t="shared" si="8"/>
        <v>17173641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510000</v>
      </c>
      <c r="L261" s="19">
        <f>SUM(F261:K261)</f>
        <v>510000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174650</v>
      </c>
      <c r="L262" s="19">
        <f>SUM(F262:K262)</f>
        <v>174650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36840</v>
      </c>
      <c r="L264" s="19">
        <f>SUM(F264:K264)</f>
        <v>36840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24429</v>
      </c>
      <c r="L265" s="19">
        <f t="shared" ref="L265:L271" si="9">SUM(F265:K265)</f>
        <v>24429</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745919</v>
      </c>
      <c r="L271" s="41">
        <f t="shared" si="9"/>
        <v>745919</v>
      </c>
      <c r="M271" s="8"/>
      <c r="N271" s="266"/>
    </row>
    <row r="272" spans="1:14" s="34" customFormat="1" ht="12.2" customHeight="1" thickTop="1" x14ac:dyDescent="0.2">
      <c r="A272" s="43" t="s">
        <v>464</v>
      </c>
      <c r="B272" s="40">
        <v>10</v>
      </c>
      <c r="C272" s="40">
        <v>18</v>
      </c>
      <c r="D272" s="39" t="s">
        <v>431</v>
      </c>
      <c r="E272" s="40"/>
      <c r="F272" s="42">
        <f t="shared" ref="F272:L272" si="11">F258+F271</f>
        <v>8664856</v>
      </c>
      <c r="G272" s="42">
        <f t="shared" si="11"/>
        <v>4509751</v>
      </c>
      <c r="H272" s="42">
        <f t="shared" si="11"/>
        <v>2910115</v>
      </c>
      <c r="I272" s="42">
        <f t="shared" si="11"/>
        <v>693303</v>
      </c>
      <c r="J272" s="42">
        <f t="shared" si="11"/>
        <v>367172</v>
      </c>
      <c r="K272" s="42">
        <f t="shared" si="11"/>
        <v>774363</v>
      </c>
      <c r="L272" s="42">
        <f t="shared" si="11"/>
        <v>17919560</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163841</v>
      </c>
      <c r="G277" s="18">
        <v>57039</v>
      </c>
      <c r="H277" s="18"/>
      <c r="I277" s="18">
        <v>16239</v>
      </c>
      <c r="J277" s="18">
        <v>16171</v>
      </c>
      <c r="K277" s="18"/>
      <c r="L277" s="19">
        <f>SUM(F277:K277)</f>
        <v>253290</v>
      </c>
      <c r="M277" s="8"/>
      <c r="N277" s="266"/>
    </row>
    <row r="278" spans="1:14" s="3" customFormat="1" ht="12.2" customHeight="1" x14ac:dyDescent="0.15">
      <c r="A278" s="1" t="s">
        <v>439</v>
      </c>
      <c r="B278" s="2" t="s">
        <v>357</v>
      </c>
      <c r="C278" s="2" t="s">
        <v>291</v>
      </c>
      <c r="D278" s="2" t="s">
        <v>431</v>
      </c>
      <c r="E278" s="6">
        <v>1200</v>
      </c>
      <c r="F278" s="18"/>
      <c r="G278" s="18"/>
      <c r="H278" s="18">
        <v>185254</v>
      </c>
      <c r="I278" s="18">
        <v>15327</v>
      </c>
      <c r="J278" s="18">
        <v>14177</v>
      </c>
      <c r="K278" s="18"/>
      <c r="L278" s="19">
        <f>SUM(F278:K278)</f>
        <v>214758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21512</v>
      </c>
      <c r="G282" s="18">
        <v>5753</v>
      </c>
      <c r="H282" s="18">
        <v>29425</v>
      </c>
      <c r="I282" s="18">
        <v>9317</v>
      </c>
      <c r="J282" s="18"/>
      <c r="K282" s="18">
        <v>7</v>
      </c>
      <c r="L282" s="19">
        <f t="shared" ref="L282:L288" si="12">SUM(F282:K282)</f>
        <v>66014</v>
      </c>
      <c r="M282" s="8"/>
      <c r="N282" s="266"/>
    </row>
    <row r="283" spans="1:14" s="3" customFormat="1" ht="12.2" customHeight="1" x14ac:dyDescent="0.15">
      <c r="A283" s="1" t="s">
        <v>443</v>
      </c>
      <c r="B283" s="2" t="s">
        <v>357</v>
      </c>
      <c r="C283" s="2" t="s">
        <v>295</v>
      </c>
      <c r="D283" s="2" t="s">
        <v>431</v>
      </c>
      <c r="E283" s="6">
        <v>2200</v>
      </c>
      <c r="F283" s="18">
        <v>1150</v>
      </c>
      <c r="G283" s="18">
        <v>298</v>
      </c>
      <c r="H283" s="18">
        <f>194+42</f>
        <v>236</v>
      </c>
      <c r="I283" s="18"/>
      <c r="J283" s="18"/>
      <c r="K283" s="18"/>
      <c r="L283" s="19">
        <f t="shared" si="12"/>
        <v>1684</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f>1019+1289</f>
        <v>2308</v>
      </c>
      <c r="I288" s="18"/>
      <c r="J288" s="18"/>
      <c r="K288" s="18"/>
      <c r="L288" s="19">
        <f t="shared" si="12"/>
        <v>2308</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186503</v>
      </c>
      <c r="G291" s="42">
        <f t="shared" si="13"/>
        <v>63090</v>
      </c>
      <c r="H291" s="42">
        <f t="shared" si="13"/>
        <v>217223</v>
      </c>
      <c r="I291" s="42">
        <f t="shared" si="13"/>
        <v>40883</v>
      </c>
      <c r="J291" s="42">
        <f t="shared" si="13"/>
        <v>30348</v>
      </c>
      <c r="K291" s="42">
        <f t="shared" si="13"/>
        <v>7</v>
      </c>
      <c r="L291" s="41">
        <f t="shared" si="13"/>
        <v>538054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71508</v>
      </c>
      <c r="G296" s="18">
        <v>31882</v>
      </c>
      <c r="H296" s="18"/>
      <c r="I296" s="18">
        <v>11713</v>
      </c>
      <c r="J296" s="18">
        <v>5684</v>
      </c>
      <c r="K296" s="18"/>
      <c r="L296" s="19">
        <f>SUM(F296:K296)</f>
        <v>120787</v>
      </c>
      <c r="M296" s="8"/>
      <c r="N296" s="266"/>
    </row>
    <row r="297" spans="1:14" s="3" customFormat="1" ht="12.2" customHeight="1" x14ac:dyDescent="0.15">
      <c r="A297" s="1" t="s">
        <v>439</v>
      </c>
      <c r="B297" s="2" t="s">
        <v>358</v>
      </c>
      <c r="C297" s="2" t="s">
        <v>291</v>
      </c>
      <c r="D297" s="2" t="s">
        <v>431</v>
      </c>
      <c r="E297" s="6">
        <v>1200</v>
      </c>
      <c r="F297" s="18"/>
      <c r="G297" s="18"/>
      <c r="H297" s="18">
        <v>10288</v>
      </c>
      <c r="I297" s="18">
        <v>2280</v>
      </c>
      <c r="J297" s="18">
        <v>4513</v>
      </c>
      <c r="K297" s="18"/>
      <c r="L297" s="19">
        <f>SUM(F297:K297)</f>
        <v>17081</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7982</v>
      </c>
      <c r="G301" s="18">
        <v>1841</v>
      </c>
      <c r="H301" s="18">
        <v>19141</v>
      </c>
      <c r="I301" s="18">
        <v>2263</v>
      </c>
      <c r="J301" s="18"/>
      <c r="K301" s="18">
        <v>4</v>
      </c>
      <c r="L301" s="19">
        <f t="shared" ref="L301:L307" si="14">SUM(F301:K301)</f>
        <v>31231</v>
      </c>
      <c r="M301" s="8"/>
      <c r="N301" s="266"/>
    </row>
    <row r="302" spans="1:14" s="3" customFormat="1" ht="12.2" customHeight="1" x14ac:dyDescent="0.15">
      <c r="A302" s="1" t="s">
        <v>443</v>
      </c>
      <c r="B302" s="2" t="s">
        <v>358</v>
      </c>
      <c r="C302" s="2" t="s">
        <v>295</v>
      </c>
      <c r="D302" s="2" t="s">
        <v>431</v>
      </c>
      <c r="E302" s="6">
        <v>2200</v>
      </c>
      <c r="F302" s="18">
        <v>640</v>
      </c>
      <c r="G302" s="18">
        <v>166</v>
      </c>
      <c r="H302" s="18">
        <v>23</v>
      </c>
      <c r="I302" s="18"/>
      <c r="J302" s="18"/>
      <c r="K302" s="18"/>
      <c r="L302" s="19">
        <f t="shared" si="14"/>
        <v>829</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v>567</v>
      </c>
      <c r="J307" s="18"/>
      <c r="K307" s="18"/>
      <c r="L307" s="19">
        <f t="shared" si="14"/>
        <v>567</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80130</v>
      </c>
      <c r="G310" s="42">
        <f t="shared" si="15"/>
        <v>33889</v>
      </c>
      <c r="H310" s="42">
        <f t="shared" si="15"/>
        <v>29452</v>
      </c>
      <c r="I310" s="42">
        <f t="shared" si="15"/>
        <v>16823</v>
      </c>
      <c r="J310" s="42">
        <f t="shared" si="15"/>
        <v>10197</v>
      </c>
      <c r="K310" s="42">
        <f t="shared" si="15"/>
        <v>4</v>
      </c>
      <c r="L310" s="41">
        <f t="shared" si="15"/>
        <v>170495</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v>4343</v>
      </c>
      <c r="J315" s="18">
        <v>8507</v>
      </c>
      <c r="K315" s="18"/>
      <c r="L315" s="19">
        <f>SUM(F315:K315)</f>
        <v>12850</v>
      </c>
      <c r="M315" s="8"/>
      <c r="N315" s="266"/>
    </row>
    <row r="316" spans="1:14" s="3" customFormat="1" ht="12.2" customHeight="1" x14ac:dyDescent="0.15">
      <c r="A316" s="1" t="s">
        <v>439</v>
      </c>
      <c r="B316" s="2" t="s">
        <v>359</v>
      </c>
      <c r="C316" s="2" t="s">
        <v>291</v>
      </c>
      <c r="D316" s="2" t="s">
        <v>431</v>
      </c>
      <c r="E316" s="6">
        <v>1200</v>
      </c>
      <c r="F316" s="18"/>
      <c r="G316" s="18"/>
      <c r="H316" s="18">
        <f>14630+16228</f>
        <v>30858</v>
      </c>
      <c r="I316" s="18">
        <v>3242</v>
      </c>
      <c r="J316" s="18">
        <v>6417</v>
      </c>
      <c r="K316" s="18"/>
      <c r="L316" s="19">
        <f>SUM(F316:K316)</f>
        <v>40517</v>
      </c>
      <c r="M316" s="8"/>
      <c r="N316" s="266"/>
    </row>
    <row r="317" spans="1:14" s="3" customFormat="1" ht="12.2" customHeight="1" x14ac:dyDescent="0.15">
      <c r="A317" s="1" t="s">
        <v>440</v>
      </c>
      <c r="B317" s="2" t="s">
        <v>359</v>
      </c>
      <c r="C317" s="2" t="s">
        <v>292</v>
      </c>
      <c r="D317" s="2" t="s">
        <v>431</v>
      </c>
      <c r="E317" s="6">
        <v>1300</v>
      </c>
      <c r="F317" s="18">
        <v>10000</v>
      </c>
      <c r="G317" s="18">
        <v>2575</v>
      </c>
      <c r="H317" s="18">
        <v>13962</v>
      </c>
      <c r="I317" s="18">
        <v>7347</v>
      </c>
      <c r="J317" s="18">
        <v>39093</v>
      </c>
      <c r="K317" s="18">
        <v>2510</v>
      </c>
      <c r="L317" s="19">
        <f>SUM(F317:K317)</f>
        <v>75487</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11350</v>
      </c>
      <c r="G320" s="18">
        <v>2617</v>
      </c>
      <c r="H320" s="18">
        <v>14730</v>
      </c>
      <c r="I320" s="18">
        <v>5484</v>
      </c>
      <c r="J320" s="18"/>
      <c r="K320" s="18">
        <v>6</v>
      </c>
      <c r="L320" s="19">
        <f t="shared" ref="L320:L326" si="16">SUM(F320:K320)</f>
        <v>34187</v>
      </c>
      <c r="M320" s="8"/>
      <c r="N320" s="266"/>
    </row>
    <row r="321" spans="1:14" s="3" customFormat="1" ht="12.2" customHeight="1" x14ac:dyDescent="0.15">
      <c r="A321" s="1" t="s">
        <v>443</v>
      </c>
      <c r="B321" s="2" t="s">
        <v>359</v>
      </c>
      <c r="C321" s="2" t="s">
        <v>295</v>
      </c>
      <c r="D321" s="2" t="s">
        <v>431</v>
      </c>
      <c r="E321" s="6">
        <v>2200</v>
      </c>
      <c r="F321" s="18">
        <v>910</v>
      </c>
      <c r="G321" s="18">
        <v>236</v>
      </c>
      <c r="H321" s="18">
        <v>33</v>
      </c>
      <c r="I321" s="18"/>
      <c r="J321" s="18"/>
      <c r="K321" s="18"/>
      <c r="L321" s="19">
        <f t="shared" si="16"/>
        <v>1179</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f>48013+18005</f>
        <v>66018</v>
      </c>
      <c r="I323" s="18"/>
      <c r="J323" s="18"/>
      <c r="K323" s="18"/>
      <c r="L323" s="19">
        <f t="shared" si="16"/>
        <v>66018</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v>995</v>
      </c>
      <c r="I325" s="18"/>
      <c r="J325" s="18"/>
      <c r="K325" s="18"/>
      <c r="L325" s="19">
        <f t="shared" si="16"/>
        <v>995</v>
      </c>
      <c r="M325" s="8"/>
      <c r="N325" s="266"/>
    </row>
    <row r="326" spans="1:14" s="3" customFormat="1" ht="12.2" customHeight="1" x14ac:dyDescent="0.15">
      <c r="A326" s="1" t="s">
        <v>448</v>
      </c>
      <c r="B326" s="2" t="s">
        <v>359</v>
      </c>
      <c r="C326" s="2" t="s">
        <v>300</v>
      </c>
      <c r="D326" s="2" t="s">
        <v>431</v>
      </c>
      <c r="E326" s="6">
        <v>2700</v>
      </c>
      <c r="F326" s="18"/>
      <c r="G326" s="18"/>
      <c r="H326" s="18">
        <f>148+806</f>
        <v>954</v>
      </c>
      <c r="I326" s="18"/>
      <c r="J326" s="18"/>
      <c r="K326" s="18"/>
      <c r="L326" s="19">
        <f t="shared" si="16"/>
        <v>954</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22260</v>
      </c>
      <c r="G329" s="42">
        <f t="shared" si="17"/>
        <v>5428</v>
      </c>
      <c r="H329" s="42">
        <f t="shared" si="17"/>
        <v>127550</v>
      </c>
      <c r="I329" s="42">
        <f t="shared" si="17"/>
        <v>20416</v>
      </c>
      <c r="J329" s="42">
        <f t="shared" si="17"/>
        <v>54017</v>
      </c>
      <c r="K329" s="42">
        <f t="shared" si="17"/>
        <v>2516</v>
      </c>
      <c r="L329" s="41">
        <f t="shared" si="17"/>
        <v>232187</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v>40170</v>
      </c>
      <c r="G336" s="18">
        <v>35426</v>
      </c>
      <c r="H336" s="18"/>
      <c r="I336" s="18"/>
      <c r="J336" s="18"/>
      <c r="K336" s="18"/>
      <c r="L336" s="19">
        <f t="shared" si="18"/>
        <v>75596</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40170</v>
      </c>
      <c r="G338" s="41">
        <f t="shared" si="19"/>
        <v>35426</v>
      </c>
      <c r="H338" s="41">
        <f t="shared" si="19"/>
        <v>0</v>
      </c>
      <c r="I338" s="41">
        <f t="shared" si="19"/>
        <v>0</v>
      </c>
      <c r="J338" s="41">
        <f t="shared" si="19"/>
        <v>0</v>
      </c>
      <c r="K338" s="41">
        <f t="shared" si="19"/>
        <v>0</v>
      </c>
      <c r="L338" s="41">
        <f t="shared" si="18"/>
        <v>75596</v>
      </c>
      <c r="M338" s="8"/>
      <c r="N338" s="266"/>
    </row>
    <row r="339" spans="1:43" s="3" customFormat="1" ht="12.2" customHeight="1" thickTop="1" x14ac:dyDescent="0.15">
      <c r="A339" s="38" t="s">
        <v>468</v>
      </c>
      <c r="B339" s="40">
        <v>14</v>
      </c>
      <c r="C339" s="40">
        <v>7</v>
      </c>
      <c r="D339" s="39" t="s">
        <v>431</v>
      </c>
      <c r="E339" s="40"/>
      <c r="F339" s="41">
        <f t="shared" ref="F339:L339" si="20">F291+F310+F329+F338</f>
        <v>329063</v>
      </c>
      <c r="G339" s="41">
        <f t="shared" si="20"/>
        <v>137833</v>
      </c>
      <c r="H339" s="41">
        <f t="shared" si="20"/>
        <v>374225</v>
      </c>
      <c r="I339" s="41">
        <f t="shared" si="20"/>
        <v>78122</v>
      </c>
      <c r="J339" s="41">
        <f t="shared" si="20"/>
        <v>94562</v>
      </c>
      <c r="K339" s="41">
        <f t="shared" si="20"/>
        <v>2527</v>
      </c>
      <c r="L339" s="41">
        <f t="shared" si="20"/>
        <v>1016332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329063</v>
      </c>
      <c r="G353" s="41">
        <f>G339</f>
        <v>137833</v>
      </c>
      <c r="H353" s="41">
        <f>H339</f>
        <v>374225</v>
      </c>
      <c r="I353" s="41">
        <f>I339</f>
        <v>78122</v>
      </c>
      <c r="J353" s="41">
        <f>J339</f>
        <v>94562</v>
      </c>
      <c r="K353" s="47">
        <f>K339+K352</f>
        <v>2527</v>
      </c>
      <c r="L353" s="41">
        <f>L339+L352</f>
        <v>1016332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438114+7189.45+8447.28-107493-152868</f>
        <v>193389.73000000004</v>
      </c>
      <c r="I359" s="18">
        <f>31032.92+690.48</f>
        <v>31723.399999999998</v>
      </c>
      <c r="J359" s="18">
        <v>17962.68</v>
      </c>
      <c r="K359" s="18"/>
      <c r="L359" s="13">
        <f>SUM(F359:K359)</f>
        <v>243075.81000000003</v>
      </c>
      <c r="M359" s="8"/>
      <c r="N359" s="266"/>
    </row>
    <row r="360" spans="1:22" s="3" customFormat="1" ht="12.2" customHeight="1" x14ac:dyDescent="0.15">
      <c r="A360" s="1" t="s">
        <v>542</v>
      </c>
      <c r="B360" s="2" t="s">
        <v>366</v>
      </c>
      <c r="C360" s="6">
        <v>2</v>
      </c>
      <c r="D360" s="2" t="s">
        <v>431</v>
      </c>
      <c r="E360" s="6"/>
      <c r="F360" s="18"/>
      <c r="G360" s="18"/>
      <c r="H360" s="18">
        <v>107493</v>
      </c>
      <c r="I360" s="18"/>
      <c r="J360" s="18"/>
      <c r="K360" s="18"/>
      <c r="L360" s="19">
        <f>SUM(F360:K360)</f>
        <v>107493</v>
      </c>
      <c r="M360" s="8"/>
      <c r="N360" s="266"/>
    </row>
    <row r="361" spans="1:22" s="3" customFormat="1" ht="12.2" customHeight="1" x14ac:dyDescent="0.15">
      <c r="A361" s="3" t="s">
        <v>543</v>
      </c>
      <c r="B361" s="2" t="s">
        <v>366</v>
      </c>
      <c r="C361" s="6">
        <v>3</v>
      </c>
      <c r="D361" s="2" t="s">
        <v>431</v>
      </c>
      <c r="E361" s="6"/>
      <c r="F361" s="18"/>
      <c r="G361" s="18"/>
      <c r="H361" s="18">
        <v>152868</v>
      </c>
      <c r="I361" s="18"/>
      <c r="J361" s="18"/>
      <c r="K361" s="18"/>
      <c r="L361" s="19">
        <f>SUM(F361:K361)</f>
        <v>152868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453750.73000000004</v>
      </c>
      <c r="I363" s="47">
        <f t="shared" si="22"/>
        <v>31723.399999999998</v>
      </c>
      <c r="J363" s="47">
        <f t="shared" si="22"/>
        <v>17962.68</v>
      </c>
      <c r="K363" s="47">
        <f t="shared" si="22"/>
        <v>0</v>
      </c>
      <c r="L363" s="47">
        <f t="shared" si="22"/>
        <v>503436.81000000006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31032.92</v>
      </c>
      <c r="G368" s="18"/>
      <c r="H368" s="18"/>
      <c r="I368" s="56">
        <f>SUM(F368:H368)</f>
        <v>31032.92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690.48</v>
      </c>
      <c r="G369" s="63"/>
      <c r="H369" s="63"/>
      <c r="I369" s="56">
        <f>SUM(F369:H369)</f>
        <v>690.48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31723.399999999998</v>
      </c>
      <c r="G370" s="47">
        <f>SUM(G368:G369)</f>
        <v>0</v>
      </c>
      <c r="H370" s="47">
        <f>SUM(H368:H369)</f>
        <v>0</v>
      </c>
      <c r="I370" s="47">
        <f>SUM(I368:I369)</f>
        <v>31723.399999999998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404826</v>
      </c>
      <c r="G443" s="18"/>
      <c r="H443" s="18"/>
      <c r="I443" s="56">
        <f t="shared" si="33"/>
        <v>404826</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404826</v>
      </c>
      <c r="G447" s="13">
        <f>SUM(G440:G446)</f>
        <v>0</v>
      </c>
      <c r="H447" s="13">
        <f>SUM(H440:H446)</f>
        <v>0</v>
      </c>
      <c r="I447" s="13">
        <f>SUM(I440:I446)</f>
        <v>404826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404826</v>
      </c>
      <c r="G460" s="18"/>
      <c r="H460" s="18"/>
      <c r="I460" s="56">
        <f t="shared" si="34"/>
        <v>404826</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404826</v>
      </c>
      <c r="G461" s="83">
        <f>SUM(G455:G460)</f>
        <v>0</v>
      </c>
      <c r="H461" s="83">
        <f>SUM(H455:H460)</f>
        <v>0</v>
      </c>
      <c r="I461" s="83">
        <f>SUM(I455:I460)</f>
        <v>404826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404826</v>
      </c>
      <c r="G462" s="42">
        <f>G453+G461</f>
        <v>0</v>
      </c>
      <c r="H462" s="42">
        <f>H453+H461</f>
        <v>0</v>
      </c>
      <c r="I462" s="42">
        <f>I453+I461</f>
        <v>404826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468389</v>
      </c>
      <c r="G466" s="18">
        <v>26924</v>
      </c>
      <c r="H466" s="18">
        <v>37091</v>
      </c>
      <c r="I466" s="18"/>
      <c r="J466" s="18">
        <v>404826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17478539.030000001</v>
      </c>
      <c r="G469" s="18">
        <f>G194</f>
        <v>521986.03</v>
      </c>
      <c r="H469" s="18">
        <f>H194</f>
        <v>1065740</v>
      </c>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v>270.60000000000002</v>
      </c>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17478539.030000001</v>
      </c>
      <c r="G471" s="53">
        <f>SUM(G469:G470)</f>
        <v>521986.03</v>
      </c>
      <c r="H471" s="53">
        <f>SUM(H469:H470)</f>
        <v>1066010.6000000001</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17919560</v>
      </c>
      <c r="G473" s="18">
        <f>L363</f>
        <v>503436.81000000006</v>
      </c>
      <c r="H473" s="18">
        <f>L353</f>
        <v>1016332</v>
      </c>
      <c r="I473" s="18"/>
      <c r="J473" s="18"/>
      <c r="K473" s="24" t="s">
        <v>288</v>
      </c>
      <c r="L473" s="24" t="s">
        <v>288</v>
      </c>
      <c r="N473" s="265"/>
    </row>
    <row r="474" spans="1:14" s="52" customFormat="1" ht="12.2" customHeight="1" x14ac:dyDescent="0.2">
      <c r="A474" s="93" t="s">
        <v>613</v>
      </c>
      <c r="B474" s="75">
        <v>19</v>
      </c>
      <c r="C474" s="80">
        <v>6</v>
      </c>
      <c r="D474" s="2" t="s">
        <v>432</v>
      </c>
      <c r="E474" s="80"/>
      <c r="F474" s="18">
        <f>14612.6+270.6</f>
        <v>14883.2</v>
      </c>
      <c r="G474" s="18">
        <f>23386.28+6935.68</f>
        <v>30321.96</v>
      </c>
      <c r="H474" s="18">
        <v>37207.480000000003</v>
      </c>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17934443.199999999</v>
      </c>
      <c r="G475" s="53">
        <f>SUM(G473:G474)</f>
        <v>533758.77</v>
      </c>
      <c r="H475" s="53">
        <f>SUM(H473:H474)</f>
        <v>1053539.48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12484.830000001937</v>
      </c>
      <c r="G477" s="53">
        <f>(G466+G471)- G475</f>
        <v>15151.260000000009</v>
      </c>
      <c r="H477" s="53">
        <f>(H466+H471)- H475</f>
        <v>49562.120000000112</v>
      </c>
      <c r="I477" s="53">
        <f>(I466+I471)- I475</f>
        <v>0</v>
      </c>
      <c r="J477" s="53">
        <f>(J466+J471)- J475</f>
        <v>404826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10158100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5</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4550000</v>
      </c>
      <c r="G496" s="18"/>
      <c r="H496" s="18"/>
      <c r="I496" s="18"/>
      <c r="J496" s="18"/>
      <c r="K496" s="53">
        <f>SUM(F496:J496)</f>
        <v>4550000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510000</v>
      </c>
      <c r="G498" s="18"/>
      <c r="H498" s="18"/>
      <c r="I498" s="18"/>
      <c r="J498" s="18"/>
      <c r="K498" s="53">
        <f t="shared" si="35"/>
        <v>510000</v>
      </c>
      <c r="L498" s="24" t="s">
        <v>288</v>
      </c>
      <c r="N498" s="265"/>
    </row>
    <row r="499" spans="1:14" s="52" customFormat="1" ht="12.2" customHeight="1" x14ac:dyDescent="0.2">
      <c r="A499" s="200" t="s">
        <v>622</v>
      </c>
      <c r="B499" s="201">
        <v>20</v>
      </c>
      <c r="C499" s="202">
        <v>9</v>
      </c>
      <c r="D499" s="203" t="s">
        <v>432</v>
      </c>
      <c r="E499" s="202"/>
      <c r="F499" s="204">
        <f>F496-F498</f>
        <v>4040000</v>
      </c>
      <c r="G499" s="204"/>
      <c r="H499" s="204"/>
      <c r="I499" s="204"/>
      <c r="J499" s="204"/>
      <c r="K499" s="205">
        <f t="shared" si="35"/>
        <v>4040000</v>
      </c>
      <c r="L499" s="206" t="s">
        <v>288</v>
      </c>
      <c r="N499" s="265"/>
    </row>
    <row r="500" spans="1:14" s="52" customFormat="1" ht="12.2" customHeight="1" thickBot="1" x14ac:dyDescent="0.25">
      <c r="A500" s="22" t="s">
        <v>623</v>
      </c>
      <c r="B500" s="75">
        <v>20</v>
      </c>
      <c r="C500" s="115">
        <v>10</v>
      </c>
      <c r="D500" s="2" t="s">
        <v>432</v>
      </c>
      <c r="E500" s="115"/>
      <c r="F500" s="18">
        <v>498476</v>
      </c>
      <c r="G500" s="18"/>
      <c r="H500" s="18"/>
      <c r="I500" s="18"/>
      <c r="J500" s="18"/>
      <c r="K500" s="53">
        <f t="shared" si="35"/>
        <v>498476</v>
      </c>
      <c r="L500" s="24" t="s">
        <v>288</v>
      </c>
      <c r="N500" s="265"/>
    </row>
    <row r="501" spans="1:14" s="52" customFormat="1" ht="12.2" customHeight="1" thickTop="1" x14ac:dyDescent="0.2">
      <c r="A501" s="139" t="s">
        <v>624</v>
      </c>
      <c r="B501" s="44">
        <v>20</v>
      </c>
      <c r="C501" s="195">
        <v>11</v>
      </c>
      <c r="D501" s="39" t="s">
        <v>432</v>
      </c>
      <c r="E501" s="195"/>
      <c r="F501" s="42">
        <f>SUM(F499:F500)</f>
        <v>4538476</v>
      </c>
      <c r="G501" s="42">
        <f>SUM(G499:G500)</f>
        <v>0</v>
      </c>
      <c r="H501" s="42">
        <f>SUM(H499:H500)</f>
        <v>0</v>
      </c>
      <c r="I501" s="42">
        <f>SUM(I499:I500)</f>
        <v>0</v>
      </c>
      <c r="J501" s="42">
        <f>SUM(J499:J500)</f>
        <v>0</v>
      </c>
      <c r="K501" s="42">
        <f t="shared" si="35"/>
        <v>4538476</v>
      </c>
      <c r="L501" s="45" t="s">
        <v>288</v>
      </c>
      <c r="N501" s="265"/>
    </row>
    <row r="502" spans="1:14" s="52" customFormat="1" ht="12.2" customHeight="1" x14ac:dyDescent="0.2">
      <c r="A502" s="200" t="s">
        <v>651</v>
      </c>
      <c r="B502" s="201">
        <v>20</v>
      </c>
      <c r="C502" s="202">
        <v>12</v>
      </c>
      <c r="D502" s="203" t="s">
        <v>432</v>
      </c>
      <c r="E502" s="202"/>
      <c r="F502" s="204">
        <v>505000</v>
      </c>
      <c r="G502" s="204"/>
      <c r="H502" s="204"/>
      <c r="I502" s="204"/>
      <c r="J502" s="204"/>
      <c r="K502" s="205">
        <f t="shared" si="35"/>
        <v>505000</v>
      </c>
      <c r="L502" s="206" t="s">
        <v>288</v>
      </c>
      <c r="N502" s="265"/>
    </row>
    <row r="503" spans="1:14" s="52" customFormat="1" ht="12.2" customHeight="1" thickBot="1" x14ac:dyDescent="0.25">
      <c r="A503" s="22" t="s">
        <v>625</v>
      </c>
      <c r="B503" s="75">
        <v>20</v>
      </c>
      <c r="C503" s="115">
        <v>13</v>
      </c>
      <c r="D503" s="2" t="s">
        <v>432</v>
      </c>
      <c r="E503" s="115"/>
      <c r="F503" s="18">
        <v>149906.25</v>
      </c>
      <c r="G503" s="18"/>
      <c r="H503" s="18"/>
      <c r="I503" s="18"/>
      <c r="J503" s="18"/>
      <c r="K503" s="53">
        <f t="shared" si="35"/>
        <v>149906.25</v>
      </c>
      <c r="L503" s="24" t="s">
        <v>288</v>
      </c>
      <c r="N503" s="265"/>
    </row>
    <row r="504" spans="1:14" s="52" customFormat="1" ht="12.2" customHeight="1" thickTop="1" x14ac:dyDescent="0.2">
      <c r="A504" s="139" t="s">
        <v>626</v>
      </c>
      <c r="B504" s="44">
        <v>20</v>
      </c>
      <c r="C504" s="195">
        <v>14</v>
      </c>
      <c r="D504" s="39" t="s">
        <v>432</v>
      </c>
      <c r="E504" s="195"/>
      <c r="F504" s="42">
        <f>SUM(F502:F503)</f>
        <v>654906.25</v>
      </c>
      <c r="G504" s="42">
        <f>SUM(G502:G503)</f>
        <v>0</v>
      </c>
      <c r="H504" s="42">
        <f>SUM(H502:H503)</f>
        <v>0</v>
      </c>
      <c r="I504" s="42">
        <f>SUM(I502:I503)</f>
        <v>0</v>
      </c>
      <c r="J504" s="42">
        <f>SUM(J502:J503)</f>
        <v>0</v>
      </c>
      <c r="K504" s="42">
        <f t="shared" si="35"/>
        <v>654906.25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1111900</v>
      </c>
      <c r="G522" s="18">
        <v>514389</v>
      </c>
      <c r="H522" s="18">
        <f>359301+185254</f>
        <v>544555</v>
      </c>
      <c r="I522" s="18">
        <f>3563+15327</f>
        <v>18890</v>
      </c>
      <c r="J522" s="18">
        <f>3225+14177</f>
        <v>17402</v>
      </c>
      <c r="K522" s="18"/>
      <c r="L522" s="88">
        <f>SUM(F522:K522)</f>
        <v>2207136</v>
      </c>
      <c r="N522" s="265"/>
    </row>
    <row r="523" spans="1:14" s="52" customFormat="1" ht="12.2" customHeight="1" x14ac:dyDescent="0.2">
      <c r="A523" s="22" t="s">
        <v>634</v>
      </c>
      <c r="B523" s="105">
        <v>21</v>
      </c>
      <c r="C523" s="115">
        <v>2</v>
      </c>
      <c r="D523" s="2" t="s">
        <v>432</v>
      </c>
      <c r="E523" s="115"/>
      <c r="F523" s="18">
        <f>415707</f>
        <v>415707</v>
      </c>
      <c r="G523" s="18">
        <v>177879</v>
      </c>
      <c r="H523" s="18">
        <f>237088+10288</f>
        <v>247376</v>
      </c>
      <c r="I523" s="18">
        <f>8937+2280</f>
        <v>11217</v>
      </c>
      <c r="J523" s="18">
        <f>12654+4513</f>
        <v>17167</v>
      </c>
      <c r="K523" s="18">
        <v>237</v>
      </c>
      <c r="L523" s="88">
        <f>SUM(F523:K523)</f>
        <v>869583</v>
      </c>
      <c r="N523" s="265"/>
    </row>
    <row r="524" spans="1:14" s="52" customFormat="1" ht="12.2" customHeight="1" thickBot="1" x14ac:dyDescent="0.25">
      <c r="A524" s="22" t="s">
        <v>635</v>
      </c>
      <c r="B524" s="105">
        <v>21</v>
      </c>
      <c r="C524" s="115">
        <v>3</v>
      </c>
      <c r="D524" s="2" t="s">
        <v>432</v>
      </c>
      <c r="E524" s="115"/>
      <c r="F524" s="18">
        <v>256255</v>
      </c>
      <c r="G524" s="18">
        <v>141090</v>
      </c>
      <c r="H524" s="18">
        <f>606757+30858</f>
        <v>637615</v>
      </c>
      <c r="I524" s="18">
        <f>3242+2864</f>
        <v>6106</v>
      </c>
      <c r="J524" s="18">
        <f>1273+6417</f>
        <v>7690</v>
      </c>
      <c r="K524" s="18">
        <v>337</v>
      </c>
      <c r="L524" s="88">
        <f>SUM(F524:K524)</f>
        <v>1049093</v>
      </c>
      <c r="N524" s="265"/>
    </row>
    <row r="525" spans="1:14" s="52" customFormat="1" ht="12.2" customHeight="1" thickTop="1" x14ac:dyDescent="0.2">
      <c r="A525" s="139" t="s">
        <v>63</v>
      </c>
      <c r="B525" s="107">
        <v>21</v>
      </c>
      <c r="C525" s="195">
        <v>4</v>
      </c>
      <c r="D525" s="196" t="s">
        <v>432</v>
      </c>
      <c r="E525" s="195"/>
      <c r="F525" s="108">
        <f>SUM(F522:F524)</f>
        <v>1783862</v>
      </c>
      <c r="G525" s="108">
        <f t="shared" ref="G525:L525" si="36">SUM(G522:G524)</f>
        <v>833358</v>
      </c>
      <c r="H525" s="108">
        <f t="shared" si="36"/>
        <v>1429546</v>
      </c>
      <c r="I525" s="108">
        <f t="shared" si="36"/>
        <v>36213</v>
      </c>
      <c r="J525" s="108">
        <f t="shared" si="36"/>
        <v>42259</v>
      </c>
      <c r="K525" s="108">
        <f t="shared" si="36"/>
        <v>574</v>
      </c>
      <c r="L525" s="89">
        <f t="shared" si="36"/>
        <v>4125812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355515+21512</f>
        <v>377027</v>
      </c>
      <c r="G527" s="18">
        <f>188826+5753</f>
        <v>194579</v>
      </c>
      <c r="H527" s="18">
        <f>146312+29425</f>
        <v>175737</v>
      </c>
      <c r="I527" s="18">
        <f>4705+9317</f>
        <v>14022</v>
      </c>
      <c r="J527" s="18"/>
      <c r="K527" s="18">
        <v>7</v>
      </c>
      <c r="L527" s="88">
        <f>SUM(F527:K527)</f>
        <v>761372</v>
      </c>
      <c r="M527" s="8"/>
      <c r="N527" s="266"/>
    </row>
    <row r="528" spans="1:14" s="3" customFormat="1" ht="12.2" customHeight="1" x14ac:dyDescent="0.15">
      <c r="A528" s="22" t="s">
        <v>634</v>
      </c>
      <c r="B528" s="105">
        <v>21</v>
      </c>
      <c r="C528" s="115">
        <v>6</v>
      </c>
      <c r="D528" s="2" t="s">
        <v>432</v>
      </c>
      <c r="E528" s="115"/>
      <c r="F528" s="18">
        <f>229371+7982</f>
        <v>237353</v>
      </c>
      <c r="G528" s="18">
        <f>1841+115177</f>
        <v>117018</v>
      </c>
      <c r="H528" s="18">
        <f>23890+19141</f>
        <v>43031</v>
      </c>
      <c r="I528" s="18">
        <f>2263+2365</f>
        <v>4628</v>
      </c>
      <c r="J528" s="18"/>
      <c r="K528" s="18">
        <v>4</v>
      </c>
      <c r="L528" s="88">
        <f>SUM(F528:K528)</f>
        <v>402034</v>
      </c>
      <c r="M528" s="8"/>
      <c r="N528" s="266"/>
    </row>
    <row r="529" spans="1:14" s="3" customFormat="1" ht="12.2" customHeight="1" thickBot="1" x14ac:dyDescent="0.2">
      <c r="A529" s="22" t="s">
        <v>635</v>
      </c>
      <c r="B529" s="118">
        <v>21</v>
      </c>
      <c r="C529" s="118">
        <v>7</v>
      </c>
      <c r="D529" s="2" t="s">
        <v>432</v>
      </c>
      <c r="E529" s="118"/>
      <c r="F529" s="18">
        <f>303032+11350</f>
        <v>314382</v>
      </c>
      <c r="G529" s="18">
        <f>143909+2617</f>
        <v>146526</v>
      </c>
      <c r="H529" s="18">
        <f>34960+14730</f>
        <v>49690</v>
      </c>
      <c r="I529" s="18">
        <f>5484+12479</f>
        <v>17963</v>
      </c>
      <c r="J529" s="18"/>
      <c r="K529" s="18">
        <f>179+6</f>
        <v>185</v>
      </c>
      <c r="L529" s="88">
        <f>SUM(F529:K529)</f>
        <v>528746</v>
      </c>
      <c r="M529" s="8"/>
      <c r="N529" s="266"/>
    </row>
    <row r="530" spans="1:14" s="3" customFormat="1" ht="12.2" customHeight="1" thickTop="1" x14ac:dyDescent="0.15">
      <c r="A530" s="139" t="s">
        <v>65</v>
      </c>
      <c r="B530" s="107">
        <v>21</v>
      </c>
      <c r="C530" s="107">
        <v>8</v>
      </c>
      <c r="D530" s="158" t="s">
        <v>432</v>
      </c>
      <c r="E530" s="107"/>
      <c r="F530" s="89">
        <f>SUM(F527:F529)</f>
        <v>928762</v>
      </c>
      <c r="G530" s="89">
        <f t="shared" ref="G530:L530" si="37">SUM(G527:G529)</f>
        <v>458123</v>
      </c>
      <c r="H530" s="89">
        <f t="shared" si="37"/>
        <v>268458</v>
      </c>
      <c r="I530" s="89">
        <f t="shared" si="37"/>
        <v>36613</v>
      </c>
      <c r="J530" s="89">
        <f t="shared" si="37"/>
        <v>0</v>
      </c>
      <c r="K530" s="89">
        <f t="shared" si="37"/>
        <v>196</v>
      </c>
      <c r="L530" s="89">
        <f t="shared" si="37"/>
        <v>1692152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174375</v>
      </c>
      <c r="G532" s="18">
        <v>85452</v>
      </c>
      <c r="H532" s="18">
        <v>47679</v>
      </c>
      <c r="I532" s="18">
        <v>2638</v>
      </c>
      <c r="J532" s="18">
        <v>456</v>
      </c>
      <c r="K532" s="18">
        <v>2242</v>
      </c>
      <c r="L532" s="88">
        <f>SUM(F532:K532)</f>
        <v>312842</v>
      </c>
      <c r="M532" s="8"/>
      <c r="N532" s="266"/>
    </row>
    <row r="533" spans="1:14" s="3" customFormat="1" ht="12.2" customHeight="1" x14ac:dyDescent="0.15">
      <c r="A533" s="22" t="s">
        <v>634</v>
      </c>
      <c r="B533" s="105">
        <v>21</v>
      </c>
      <c r="C533" s="105">
        <v>10</v>
      </c>
      <c r="D533" s="2" t="s">
        <v>432</v>
      </c>
      <c r="E533" s="105"/>
      <c r="F533" s="18">
        <v>120407</v>
      </c>
      <c r="G533" s="18">
        <v>68816</v>
      </c>
      <c r="H533" s="18">
        <v>26505</v>
      </c>
      <c r="I533" s="18">
        <v>1467</v>
      </c>
      <c r="J533" s="18">
        <v>253</v>
      </c>
      <c r="K533" s="18">
        <v>1246</v>
      </c>
      <c r="L533" s="88">
        <f>SUM(F533:K533)</f>
        <v>218694</v>
      </c>
      <c r="M533" s="8"/>
      <c r="N533" s="266"/>
    </row>
    <row r="534" spans="1:14" s="3" customFormat="1" ht="12.2" customHeight="1" thickBot="1" x14ac:dyDescent="0.2">
      <c r="A534" s="22" t="s">
        <v>635</v>
      </c>
      <c r="B534" s="105">
        <v>21</v>
      </c>
      <c r="C534" s="105">
        <v>11</v>
      </c>
      <c r="D534" s="2" t="s">
        <v>432</v>
      </c>
      <c r="E534" s="105"/>
      <c r="F534" s="18">
        <v>148273</v>
      </c>
      <c r="G534" s="18">
        <v>70264</v>
      </c>
      <c r="H534" s="18">
        <v>37698</v>
      </c>
      <c r="I534" s="18">
        <v>2086</v>
      </c>
      <c r="J534" s="18">
        <v>361</v>
      </c>
      <c r="K534" s="18">
        <v>1773</v>
      </c>
      <c r="L534" s="88">
        <f>SUM(F534:K534)</f>
        <v>260455</v>
      </c>
      <c r="M534" s="8"/>
      <c r="N534" s="266"/>
    </row>
    <row r="535" spans="1:14" s="3" customFormat="1" ht="12.2" customHeight="1" thickTop="1" x14ac:dyDescent="0.15">
      <c r="A535" s="139" t="s">
        <v>67</v>
      </c>
      <c r="B535" s="107">
        <v>21</v>
      </c>
      <c r="C535" s="107">
        <v>12</v>
      </c>
      <c r="D535" s="158" t="s">
        <v>432</v>
      </c>
      <c r="E535" s="107"/>
      <c r="F535" s="89">
        <f>SUM(F532:F534)</f>
        <v>443055</v>
      </c>
      <c r="G535" s="89">
        <f t="shared" ref="G535:L535" si="38">SUM(G532:G534)</f>
        <v>224532</v>
      </c>
      <c r="H535" s="89">
        <f t="shared" si="38"/>
        <v>111882</v>
      </c>
      <c r="I535" s="89">
        <f t="shared" si="38"/>
        <v>6191</v>
      </c>
      <c r="J535" s="89">
        <f t="shared" si="38"/>
        <v>1070</v>
      </c>
      <c r="K535" s="89">
        <f t="shared" si="38"/>
        <v>5261</v>
      </c>
      <c r="L535" s="89">
        <f t="shared" si="38"/>
        <v>791991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f>31590+260</f>
        <v>31850</v>
      </c>
      <c r="G542" s="18">
        <f>20+29+13+10379</f>
        <v>10441</v>
      </c>
      <c r="H542" s="18">
        <f>1016+32280+7783</f>
        <v>41079</v>
      </c>
      <c r="I542" s="18">
        <f>1213+3878</f>
        <v>5091</v>
      </c>
      <c r="J542" s="18"/>
      <c r="K542" s="18"/>
      <c r="L542" s="88">
        <f>SUM(F542:K542)</f>
        <v>88461</v>
      </c>
      <c r="M542" s="8"/>
      <c r="N542" s="266"/>
    </row>
    <row r="543" spans="1:14" s="3" customFormat="1" ht="12.2" customHeight="1" x14ac:dyDescent="0.15">
      <c r="A543" s="22" t="s">
        <v>634</v>
      </c>
      <c r="B543" s="105">
        <v>21</v>
      </c>
      <c r="C543" s="105">
        <v>18</v>
      </c>
      <c r="D543" s="2" t="s">
        <v>432</v>
      </c>
      <c r="E543" s="105"/>
      <c r="F543" s="18">
        <v>17561</v>
      </c>
      <c r="G543" s="18">
        <v>5769</v>
      </c>
      <c r="H543" s="18">
        <v>4327</v>
      </c>
      <c r="I543" s="18">
        <f>674+2156</f>
        <v>2830</v>
      </c>
      <c r="J543" s="18"/>
      <c r="K543" s="18"/>
      <c r="L543" s="88">
        <f>SUM(F543:K543)</f>
        <v>30487</v>
      </c>
      <c r="M543" s="8"/>
      <c r="N543" s="266"/>
    </row>
    <row r="544" spans="1:14" s="3" customFormat="1" ht="12.2" customHeight="1" thickBot="1" x14ac:dyDescent="0.2">
      <c r="A544" s="22" t="s">
        <v>635</v>
      </c>
      <c r="B544" s="105">
        <v>21</v>
      </c>
      <c r="C544" s="105">
        <v>19</v>
      </c>
      <c r="D544" s="2" t="s">
        <v>432</v>
      </c>
      <c r="E544" s="105"/>
      <c r="F544" s="18">
        <v>24978</v>
      </c>
      <c r="G544" s="18">
        <v>8207</v>
      </c>
      <c r="H544" s="18">
        <f>13814+6154</f>
        <v>19968</v>
      </c>
      <c r="I544" s="18">
        <f>959+3066</f>
        <v>4025</v>
      </c>
      <c r="J544" s="18"/>
      <c r="K544" s="18"/>
      <c r="L544" s="88">
        <f>SUM(F544:K544)</f>
        <v>57178</v>
      </c>
      <c r="M544" s="8"/>
      <c r="N544" s="266"/>
    </row>
    <row r="545" spans="1:14" s="3" customFormat="1" ht="12.2" customHeight="1" thickTop="1" thickBot="1" x14ac:dyDescent="0.2">
      <c r="A545" s="130" t="s">
        <v>71</v>
      </c>
      <c r="B545" s="191">
        <v>21</v>
      </c>
      <c r="C545" s="191">
        <v>20</v>
      </c>
      <c r="D545" s="192" t="s">
        <v>432</v>
      </c>
      <c r="E545" s="191"/>
      <c r="F545" s="193">
        <f>SUM(F542:F544)</f>
        <v>74389</v>
      </c>
      <c r="G545" s="193">
        <f t="shared" ref="G545:L545" si="40">SUM(G542:G544)</f>
        <v>24417</v>
      </c>
      <c r="H545" s="193">
        <f t="shared" si="40"/>
        <v>65374</v>
      </c>
      <c r="I545" s="193">
        <f t="shared" si="40"/>
        <v>11946</v>
      </c>
      <c r="J545" s="193">
        <f t="shared" si="40"/>
        <v>0</v>
      </c>
      <c r="K545" s="193">
        <f t="shared" si="40"/>
        <v>0</v>
      </c>
      <c r="L545" s="193">
        <f t="shared" si="40"/>
        <v>176126</v>
      </c>
      <c r="M545" s="8"/>
      <c r="N545" s="266"/>
    </row>
    <row r="546" spans="1:14" s="3" customFormat="1" ht="12.2" customHeight="1" thickTop="1" x14ac:dyDescent="0.15">
      <c r="A546" s="98" t="s">
        <v>72</v>
      </c>
      <c r="B546" s="107">
        <v>21</v>
      </c>
      <c r="C546" s="107">
        <v>21</v>
      </c>
      <c r="D546" s="158" t="s">
        <v>432</v>
      </c>
      <c r="E546" s="107"/>
      <c r="F546" s="89">
        <f>F525+F530+F535+F540+F545</f>
        <v>3230068</v>
      </c>
      <c r="G546" s="89">
        <f t="shared" ref="G546:L546" si="41">G525+G530+G535+G540+G545</f>
        <v>1540430</v>
      </c>
      <c r="H546" s="89">
        <f t="shared" si="41"/>
        <v>1875260</v>
      </c>
      <c r="I546" s="89">
        <f t="shared" si="41"/>
        <v>90963</v>
      </c>
      <c r="J546" s="89">
        <f t="shared" si="41"/>
        <v>43329</v>
      </c>
      <c r="K546" s="89">
        <f t="shared" si="41"/>
        <v>6031</v>
      </c>
      <c r="L546" s="89">
        <f t="shared" si="41"/>
        <v>6786081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2207136</v>
      </c>
      <c r="G550" s="87">
        <f>L527</f>
        <v>761372</v>
      </c>
      <c r="H550" s="87">
        <f>L532</f>
        <v>312842</v>
      </c>
      <c r="I550" s="87">
        <f>L537</f>
        <v>0</v>
      </c>
      <c r="J550" s="87">
        <f>L542</f>
        <v>88461</v>
      </c>
      <c r="K550" s="87">
        <f>SUM(F550:J550)</f>
        <v>3369811</v>
      </c>
      <c r="L550" s="24" t="s">
        <v>288</v>
      </c>
      <c r="M550" s="8"/>
      <c r="N550" s="266"/>
    </row>
    <row r="551" spans="1:14" s="3" customFormat="1" ht="12.2" customHeight="1" x14ac:dyDescent="0.15">
      <c r="A551" s="22" t="s">
        <v>634</v>
      </c>
      <c r="B551" s="75">
        <v>21</v>
      </c>
      <c r="C551" s="75">
        <v>23</v>
      </c>
      <c r="D551" s="2" t="s">
        <v>432</v>
      </c>
      <c r="E551" s="75"/>
      <c r="F551" s="87">
        <f>L523</f>
        <v>869583</v>
      </c>
      <c r="G551" s="87">
        <f>L528</f>
        <v>402034</v>
      </c>
      <c r="H551" s="87">
        <f>L533</f>
        <v>218694</v>
      </c>
      <c r="I551" s="87">
        <f>L538</f>
        <v>0</v>
      </c>
      <c r="J551" s="87">
        <f>L543</f>
        <v>30487</v>
      </c>
      <c r="K551" s="87">
        <f>SUM(F551:J551)</f>
        <v>1520798</v>
      </c>
      <c r="L551" s="24" t="s">
        <v>288</v>
      </c>
      <c r="M551" s="8"/>
      <c r="N551" s="266"/>
    </row>
    <row r="552" spans="1:14" s="3" customFormat="1" ht="12.2" customHeight="1" thickBot="1" x14ac:dyDescent="0.2">
      <c r="A552" s="22" t="s">
        <v>635</v>
      </c>
      <c r="B552" s="75">
        <v>21</v>
      </c>
      <c r="C552" s="75">
        <v>24</v>
      </c>
      <c r="D552" s="2" t="s">
        <v>432</v>
      </c>
      <c r="E552" s="75"/>
      <c r="F552" s="87">
        <f>L524</f>
        <v>1049093</v>
      </c>
      <c r="G552" s="87">
        <f>L529</f>
        <v>528746</v>
      </c>
      <c r="H552" s="87">
        <f>L534</f>
        <v>260455</v>
      </c>
      <c r="I552" s="87">
        <f>L539</f>
        <v>0</v>
      </c>
      <c r="J552" s="87">
        <f>L544</f>
        <v>57178</v>
      </c>
      <c r="K552" s="87">
        <f>SUM(F552:J552)</f>
        <v>1895472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4125812</v>
      </c>
      <c r="G553" s="89">
        <f t="shared" si="42"/>
        <v>1692152</v>
      </c>
      <c r="H553" s="89">
        <f t="shared" si="42"/>
        <v>791991</v>
      </c>
      <c r="I553" s="89">
        <f t="shared" si="42"/>
        <v>0</v>
      </c>
      <c r="J553" s="89">
        <f t="shared" si="42"/>
        <v>176126</v>
      </c>
      <c r="K553" s="89">
        <f t="shared" si="42"/>
        <v>6786081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v>9850</v>
      </c>
      <c r="I563" s="18">
        <f>74+158</f>
        <v>232</v>
      </c>
      <c r="J563" s="18"/>
      <c r="K563" s="18"/>
      <c r="L563" s="88">
        <f>SUM(F563:K563)</f>
        <v>10082</v>
      </c>
      <c r="M563" s="8"/>
      <c r="N563" s="266"/>
    </row>
    <row r="564" spans="1:14" s="3" customFormat="1" ht="12.2" customHeight="1" x14ac:dyDescent="0.15">
      <c r="A564" s="22" t="s">
        <v>634</v>
      </c>
      <c r="B564" s="105">
        <v>22</v>
      </c>
      <c r="C564" s="115">
        <v>6</v>
      </c>
      <c r="D564" s="2" t="s">
        <v>432</v>
      </c>
      <c r="E564" s="115"/>
      <c r="F564" s="18"/>
      <c r="G564" s="18"/>
      <c r="H564" s="18">
        <v>5476</v>
      </c>
      <c r="I564" s="18">
        <f>41+88</f>
        <v>129</v>
      </c>
      <c r="J564" s="18"/>
      <c r="K564" s="18"/>
      <c r="L564" s="88">
        <f>SUM(F564:K564)</f>
        <v>5605</v>
      </c>
      <c r="M564" s="8"/>
      <c r="N564" s="266"/>
    </row>
    <row r="565" spans="1:14" s="3" customFormat="1" ht="12.2" customHeight="1" thickBot="1" x14ac:dyDescent="0.2">
      <c r="A565" s="22" t="s">
        <v>635</v>
      </c>
      <c r="B565" s="105">
        <v>22</v>
      </c>
      <c r="C565" s="118">
        <v>7</v>
      </c>
      <c r="D565" s="2" t="s">
        <v>432</v>
      </c>
      <c r="E565" s="118"/>
      <c r="F565" s="18"/>
      <c r="G565" s="18"/>
      <c r="H565" s="18">
        <v>7789</v>
      </c>
      <c r="I565" s="18">
        <f>59+125</f>
        <v>184</v>
      </c>
      <c r="J565" s="18"/>
      <c r="K565" s="18"/>
      <c r="L565" s="88">
        <f>SUM(F565:K565)</f>
        <v>7973</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23115</v>
      </c>
      <c r="I566" s="89">
        <f t="shared" si="44"/>
        <v>545</v>
      </c>
      <c r="J566" s="89">
        <f t="shared" si="44"/>
        <v>0</v>
      </c>
      <c r="K566" s="89">
        <f t="shared" si="44"/>
        <v>0</v>
      </c>
      <c r="L566" s="89">
        <f t="shared" si="44"/>
        <v>23660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23115</v>
      </c>
      <c r="I572" s="89">
        <f t="shared" si="46"/>
        <v>545</v>
      </c>
      <c r="J572" s="89">
        <f t="shared" si="46"/>
        <v>0</v>
      </c>
      <c r="K572" s="89">
        <f t="shared" si="46"/>
        <v>0</v>
      </c>
      <c r="L572" s="89">
        <f t="shared" si="46"/>
        <v>23660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f>250</f>
        <v>250</v>
      </c>
      <c r="I576" s="87">
        <f>SUM(F576:H576)</f>
        <v>250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22399+69586</f>
        <v>91985</v>
      </c>
      <c r="G580" s="18"/>
      <c r="H580" s="18">
        <f>10951</f>
        <v>10951</v>
      </c>
      <c r="I580" s="87">
        <f t="shared" si="47"/>
        <v>102936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145448</v>
      </c>
      <c r="G583" s="18">
        <v>171927</v>
      </c>
      <c r="H583" s="18">
        <v>419069</v>
      </c>
      <c r="I583" s="87">
        <f t="shared" si="47"/>
        <v>736444</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5805</v>
      </c>
      <c r="I585" s="87">
        <f t="shared" si="47"/>
        <v>5805</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164144</v>
      </c>
      <c r="I592" s="18">
        <v>91255</v>
      </c>
      <c r="J592" s="18">
        <v>129787</v>
      </c>
      <c r="K592" s="104">
        <f t="shared" ref="K592:K598" si="48">SUM(H592:J592)</f>
        <v>385186</v>
      </c>
      <c r="L592" s="24" t="s">
        <v>288</v>
      </c>
      <c r="M592" s="8"/>
      <c r="N592" s="266"/>
    </row>
    <row r="593" spans="1:14" s="3" customFormat="1" ht="12.2" customHeight="1" x14ac:dyDescent="0.15">
      <c r="A593" s="3" t="s">
        <v>638</v>
      </c>
      <c r="B593" s="75">
        <v>23</v>
      </c>
      <c r="C593" s="75">
        <v>2</v>
      </c>
      <c r="D593" s="2" t="s">
        <v>432</v>
      </c>
      <c r="E593" s="75"/>
      <c r="F593" s="102">
        <v>2722</v>
      </c>
      <c r="G593" s="103" t="s">
        <v>97</v>
      </c>
      <c r="H593" s="18">
        <f>54843+32602</f>
        <v>87445</v>
      </c>
      <c r="I593" s="18">
        <f>30487+1016</f>
        <v>31503</v>
      </c>
      <c r="J593" s="18">
        <f>43364+13814</f>
        <v>57178</v>
      </c>
      <c r="K593" s="104">
        <f t="shared" si="48"/>
        <v>176126</v>
      </c>
      <c r="L593" s="24" t="s">
        <v>288</v>
      </c>
      <c r="M593" s="8"/>
      <c r="N593" s="266"/>
    </row>
    <row r="594" spans="1:14" s="3" customFormat="1" ht="12.2" customHeight="1" x14ac:dyDescent="0.15">
      <c r="A594" s="3" t="s">
        <v>639</v>
      </c>
      <c r="B594" s="75">
        <v>23</v>
      </c>
      <c r="C594" s="75">
        <v>3</v>
      </c>
      <c r="D594" s="2" t="s">
        <v>432</v>
      </c>
      <c r="E594" s="75"/>
      <c r="F594" s="102">
        <v>2723</v>
      </c>
      <c r="G594" s="103" t="s">
        <v>97</v>
      </c>
      <c r="H594" s="18">
        <v>436</v>
      </c>
      <c r="I594" s="18">
        <v>241</v>
      </c>
      <c r="J594" s="18">
        <v>343</v>
      </c>
      <c r="K594" s="104">
        <f t="shared" si="48"/>
        <v>1020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59</v>
      </c>
      <c r="I595" s="18">
        <f>33+1737</f>
        <v>1770</v>
      </c>
      <c r="J595" s="18">
        <f>46+12916</f>
        <v>12962</v>
      </c>
      <c r="K595" s="104">
        <f t="shared" si="48"/>
        <v>14791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62+2669+1043</f>
        <v>3774</v>
      </c>
      <c r="I596" s="18">
        <f>35+830</f>
        <v>865</v>
      </c>
      <c r="J596" s="18">
        <f>48+1745</f>
        <v>1793</v>
      </c>
      <c r="K596" s="104">
        <f t="shared" si="48"/>
        <v>6432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255858</v>
      </c>
      <c r="I599" s="108">
        <f>SUM(I592:I598)</f>
        <v>125634</v>
      </c>
      <c r="J599" s="108">
        <f>SUM(J592:J598)</f>
        <v>202063</v>
      </c>
      <c r="K599" s="108">
        <f>SUM(K592:K598)</f>
        <v>583555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113358+16171+14177</f>
        <v>143706</v>
      </c>
      <c r="I605" s="18">
        <f>112274+5684+4513</f>
        <v>122471</v>
      </c>
      <c r="J605" s="18">
        <f>141540+8507+6417+39093</f>
        <v>195557</v>
      </c>
      <c r="K605" s="104">
        <f>SUM(H605:J605)</f>
        <v>461734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143706</v>
      </c>
      <c r="I606" s="108">
        <f>SUM(I603:I605)</f>
        <v>122471</v>
      </c>
      <c r="J606" s="108">
        <f>SUM(J603:J605)</f>
        <v>195557</v>
      </c>
      <c r="K606" s="108">
        <f>SUM(K603:K605)</f>
        <v>461734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768904.44000000006</v>
      </c>
      <c r="H618" s="109">
        <f>SUM(F52)</f>
        <v>768904.44000000297</v>
      </c>
      <c r="I618" s="121" t="s">
        <v>875</v>
      </c>
      <c r="J618" s="109">
        <f>G618-H618</f>
        <v>-2.9103830456733704E-9</v>
      </c>
      <c r="K618" s="109"/>
      <c r="L618" s="109"/>
      <c r="M618" s="8"/>
    </row>
    <row r="619" spans="1:14" s="3" customFormat="1" ht="12.2" customHeight="1" x14ac:dyDescent="0.15">
      <c r="A619" s="97" t="s">
        <v>100</v>
      </c>
      <c r="B619" s="105"/>
      <c r="C619" s="105"/>
      <c r="D619" s="105"/>
      <c r="E619" s="105"/>
      <c r="F619" s="121" t="s">
        <v>684</v>
      </c>
      <c r="G619" s="109">
        <f>SUM(G19)</f>
        <v>70672.75</v>
      </c>
      <c r="H619" s="109">
        <f>SUM(G52)</f>
        <v>70672.749999999985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206182.25</v>
      </c>
      <c r="H620" s="109">
        <f>SUM(H52)</f>
        <v>206182.25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404826</v>
      </c>
      <c r="H622" s="109">
        <f>SUM(J52)</f>
        <v>404826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12484.830000002979</v>
      </c>
      <c r="H623" s="109">
        <f>F477</f>
        <v>12484.830000001937</v>
      </c>
      <c r="I623" s="121" t="s">
        <v>101</v>
      </c>
      <c r="J623" s="109">
        <f t="shared" ref="J623:J656" si="50">G623-H623</f>
        <v>1.0422809282317758E-9</v>
      </c>
      <c r="K623" s="109"/>
      <c r="L623" s="109"/>
      <c r="M623" s="8"/>
    </row>
    <row r="624" spans="1:14" s="3" customFormat="1" ht="12.2" customHeight="1" x14ac:dyDescent="0.15">
      <c r="A624" s="97"/>
      <c r="B624" s="105"/>
      <c r="C624" s="119"/>
      <c r="D624" s="119"/>
      <c r="E624" s="119"/>
      <c r="F624" s="119" t="s">
        <v>866</v>
      </c>
      <c r="G624" s="109">
        <f>G51</f>
        <v>15151.259999999986</v>
      </c>
      <c r="H624" s="109">
        <f>G477</f>
        <v>15151.260000000009</v>
      </c>
      <c r="I624" s="121" t="s">
        <v>102</v>
      </c>
      <c r="J624" s="109">
        <f t="shared" si="50"/>
        <v>-2.3646862246096134E-11</v>
      </c>
      <c r="K624" s="109"/>
      <c r="L624" s="109"/>
      <c r="M624" s="8"/>
    </row>
    <row r="625" spans="1:13" s="3" customFormat="1" ht="12.2" customHeight="1" x14ac:dyDescent="0.15">
      <c r="A625" s="97"/>
      <c r="B625" s="105"/>
      <c r="C625" s="105"/>
      <c r="D625" s="105"/>
      <c r="E625" s="105"/>
      <c r="F625" s="120" t="s">
        <v>867</v>
      </c>
      <c r="G625" s="109">
        <f>H51</f>
        <v>49562.12</v>
      </c>
      <c r="H625" s="109">
        <f>H477</f>
        <v>49562.120000000112</v>
      </c>
      <c r="I625" s="121" t="s">
        <v>103</v>
      </c>
      <c r="J625" s="109">
        <f t="shared" si="50"/>
        <v>-1.0913936421275139E-10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404826</v>
      </c>
      <c r="H627" s="109">
        <f>J477</f>
        <v>404826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17478539.030000001</v>
      </c>
      <c r="H628" s="104">
        <f>SUM(F469)</f>
        <v>17478539.030000001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521986.03</v>
      </c>
      <c r="H629" s="104">
        <f>SUM(G469)</f>
        <v>521986.03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1065740</v>
      </c>
      <c r="H630" s="104">
        <f>SUM(H469)</f>
        <v>1065740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17919560</v>
      </c>
      <c r="H633" s="104">
        <f>SUM(F473)</f>
        <v>17919560</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1016332</v>
      </c>
      <c r="H634" s="104">
        <f>SUM(H473)</f>
        <v>1016332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31723.399999999998</v>
      </c>
      <c r="H635" s="104">
        <f>I370</f>
        <v>31723.399999999998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503436.81000000006</v>
      </c>
      <c r="H636" s="104">
        <f>SUM(G473)</f>
        <v>503436.81000000006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404826</v>
      </c>
      <c r="H640" s="104">
        <f>SUM(F462)</f>
        <v>404826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404826</v>
      </c>
      <c r="H643" s="104">
        <f>SUM(I462)</f>
        <v>404826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583555</v>
      </c>
      <c r="H648" s="104">
        <f>L209+L227+L245</f>
        <v>583555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461734</v>
      </c>
      <c r="H649" s="104">
        <f>(J258+J339)-(J256+J337)</f>
        <v>461734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255858</v>
      </c>
      <c r="H650" s="104">
        <f>H599</f>
        <v>255858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125634</v>
      </c>
      <c r="H651" s="104">
        <f>I599</f>
        <v>125634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202063</v>
      </c>
      <c r="H652" s="104">
        <f>J599</f>
        <v>202063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36840</v>
      </c>
      <c r="H653" s="104">
        <f>K264+K346</f>
        <v>36840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24429</v>
      </c>
      <c r="H654" s="104">
        <f>K265</f>
        <v>24429</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7798643.8099999996</v>
      </c>
      <c r="G661" s="19">
        <f>(L230+L310+L360)</f>
        <v>4156718</v>
      </c>
      <c r="H661" s="19">
        <f>(L248+L329+L361)</f>
        <v>6662452</v>
      </c>
      <c r="I661" s="19">
        <f>SUM(F661:H661)</f>
        <v>18617813.809999999</v>
      </c>
      <c r="J661" s="13"/>
      <c r="K661" s="13"/>
      <c r="L661" s="13"/>
      <c r="M661" s="9"/>
    </row>
    <row r="662" spans="1:13" s="3" customFormat="1" ht="12.2" customHeight="1" x14ac:dyDescent="0.2">
      <c r="A662" s="1" t="s">
        <v>127</v>
      </c>
      <c r="F662" s="19">
        <f>(L359/IF(SUM(L359:L361)=0,1,SUM(L359:L361))*(SUM(G97:G110)))</f>
        <v>44177.797138816488</v>
      </c>
      <c r="G662" s="19">
        <f>(L360/IF(SUM(L359:L361)=0,1,SUM(L359:L361))*(SUM(G97:G110)))</f>
        <v>19536.30823175206</v>
      </c>
      <c r="H662" s="19">
        <f>(L361/IF(SUM(L359:L361)=0,1,SUM(L359:L361))*(SUM(G97:G110)))</f>
        <v>27782.984629431441</v>
      </c>
      <c r="I662" s="19">
        <f>SUM(F662:H662)</f>
        <v>91497.09</v>
      </c>
      <c r="J662"/>
      <c r="K662" s="13"/>
      <c r="L662" s="13"/>
      <c r="M662" s="8"/>
    </row>
    <row r="663" spans="1:13" s="3" customFormat="1" ht="12.2" customHeight="1" x14ac:dyDescent="0.2">
      <c r="A663" s="1" t="s">
        <v>128</v>
      </c>
      <c r="F663" s="19">
        <f>(L209+L288)-(J209+J288)</f>
        <v>256432</v>
      </c>
      <c r="G663" s="19">
        <f>(L227+L307)-(J227+J307)</f>
        <v>125237</v>
      </c>
      <c r="H663" s="19">
        <f>(L245+L326)-(J245+J326)</f>
        <v>201646</v>
      </c>
      <c r="I663" s="19">
        <f>SUM(F663:H663)</f>
        <v>583315</v>
      </c>
      <c r="J663"/>
      <c r="K663" s="13"/>
      <c r="L663" s="13"/>
      <c r="M663" s="9"/>
    </row>
    <row r="664" spans="1:13" s="3" customFormat="1" ht="12.2" customHeight="1" x14ac:dyDescent="0.15">
      <c r="A664" s="198" t="s">
        <v>129</v>
      </c>
      <c r="B664" s="169"/>
      <c r="C664" s="169"/>
      <c r="D664" s="169"/>
      <c r="E664" s="169"/>
      <c r="F664" s="199">
        <f>SUM(F576:F588)+SUM(H603:H605)+SUM(L612)</f>
        <v>381139</v>
      </c>
      <c r="G664" s="199">
        <f>SUM(G576:G588)+SUM(I603:I605)+L613</f>
        <v>294398</v>
      </c>
      <c r="H664" s="199">
        <f>SUM(H576:H588)+SUM(J603:J605)+L614</f>
        <v>631632</v>
      </c>
      <c r="I664" s="19">
        <f>SUM(F664:H664)</f>
        <v>1307169</v>
      </c>
      <c r="J664" s="13"/>
      <c r="K664" s="13"/>
      <c r="L664" s="13"/>
      <c r="M664" s="9"/>
    </row>
    <row r="665" spans="1:13" s="3" customFormat="1" ht="12.2" customHeight="1" x14ac:dyDescent="0.15">
      <c r="A665" s="1" t="s">
        <v>130</v>
      </c>
      <c r="F665" s="19">
        <f>F661-SUM(F662:F664)</f>
        <v>7116895.0128611829</v>
      </c>
      <c r="G665" s="19">
        <f>G661-SUM(G662:G664)</f>
        <v>3717546.6917682481</v>
      </c>
      <c r="H665" s="19">
        <f>H661-SUM(H662:H664)</f>
        <v>5801391.0153705683</v>
      </c>
      <c r="I665" s="19">
        <f>I661-SUM(I662:I664)</f>
        <v>16635832.719999999</v>
      </c>
      <c r="J665" s="13"/>
      <c r="K665" s="13"/>
      <c r="L665" s="13"/>
      <c r="M665" s="8"/>
    </row>
    <row r="666" spans="1:13" s="3" customFormat="1" ht="12.2" customHeight="1" x14ac:dyDescent="0.2">
      <c r="A666" s="1" t="s">
        <v>131</v>
      </c>
      <c r="F666" s="246">
        <f>11.51+52.69+321.17</f>
        <v>385.37</v>
      </c>
      <c r="G666" s="247">
        <v>214.23</v>
      </c>
      <c r="H666" s="247">
        <v>304.72000000000003</v>
      </c>
      <c r="I666" s="19">
        <f>SUM(F666:H666)</f>
        <v>904.32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18467.689999999999</v>
      </c>
      <c r="G668" s="19">
        <f>ROUND(G665/G666,2)</f>
        <v>17353.060000000001</v>
      </c>
      <c r="H668" s="19">
        <f>ROUND(H665/H666,2)</f>
        <v>19038.43</v>
      </c>
      <c r="I668" s="19">
        <f>ROUND(I665/I666,2)</f>
        <v>18395.96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5.61</v>
      </c>
      <c r="I671" s="19">
        <f>SUM(F671:H671)</f>
        <v>5.61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18467.689999999999</v>
      </c>
      <c r="G673" s="19">
        <f>ROUND((G665+G670)/(G666+G671),2)</f>
        <v>17353.060000000001</v>
      </c>
      <c r="H673" s="19">
        <f>ROUND((H665+H670)/(H666+H671),2)</f>
        <v>18694.259999999998</v>
      </c>
      <c r="I673" s="19">
        <f>ROUND((I665+I670)/(I666+I671),2)</f>
        <v>18282.54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4"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Newport SD</v>
      </c>
      <c r="C5" s="344"/>
      <c r="D5" s="344"/>
      <c r="E5" s="344"/>
      <c r="F5" s="344"/>
    </row>
    <row r="8" spans="1:9" ht="18" x14ac:dyDescent="0.25">
      <c r="A8" s="323" t="s">
        <v>1591</v>
      </c>
      <c r="F8" s="330" t="s">
        <v>1609</v>
      </c>
    </row>
    <row r="9" spans="1:9" ht="15" x14ac:dyDescent="0.2">
      <c r="A9" s="321" t="s">
        <v>1592</v>
      </c>
      <c r="B9" s="324">
        <f>'DOE25'!G97</f>
        <v>91497.09</v>
      </c>
      <c r="F9" s="321" t="s">
        <v>1605</v>
      </c>
    </row>
    <row r="10" spans="1:9" ht="15" x14ac:dyDescent="0.2">
      <c r="A10" s="321" t="s">
        <v>1593</v>
      </c>
      <c r="B10" s="324">
        <f>'DOE25'!G112-'DOE25'!G97</f>
        <v>0</v>
      </c>
      <c r="F10" s="321" t="s">
        <v>1606</v>
      </c>
    </row>
    <row r="11" spans="1:9" ht="15" x14ac:dyDescent="0.2">
      <c r="A11" s="321" t="s">
        <v>1594</v>
      </c>
      <c r="B11" s="324">
        <f>'DOE25'!G140</f>
        <v>6582.6</v>
      </c>
      <c r="F11" s="321" t="s">
        <v>1607</v>
      </c>
    </row>
    <row r="12" spans="1:9" ht="15" x14ac:dyDescent="0.2">
      <c r="A12" s="321" t="s">
        <v>1595</v>
      </c>
      <c r="B12" s="324">
        <f>'DOE25'!G170</f>
        <v>387066.34</v>
      </c>
      <c r="F12" s="321" t="s">
        <v>1608</v>
      </c>
    </row>
    <row r="13" spans="1:9" ht="15" x14ac:dyDescent="0.2">
      <c r="A13" s="321" t="s">
        <v>1596</v>
      </c>
      <c r="B13" s="324">
        <f>'DOE25'!G193-'DOE25'!G180</f>
        <v>0</v>
      </c>
      <c r="F13" s="321" t="s">
        <v>1618</v>
      </c>
    </row>
    <row r="14" spans="1:9" ht="18" x14ac:dyDescent="0.25">
      <c r="A14" s="323" t="s">
        <v>732</v>
      </c>
      <c r="B14" s="325">
        <f>SUM(B9:B13)</f>
        <v>485146.03</v>
      </c>
    </row>
    <row r="16" spans="1:9" ht="18" x14ac:dyDescent="0.25">
      <c r="A16" s="323" t="s">
        <v>786</v>
      </c>
      <c r="F16" s="330" t="s">
        <v>1610</v>
      </c>
    </row>
    <row r="17" spans="1:6" ht="15" x14ac:dyDescent="0.2">
      <c r="A17" s="321" t="s">
        <v>1597</v>
      </c>
      <c r="B17" s="324">
        <f>'DOE25'!L363-'DOE25'!L362</f>
        <v>503436.81000000006</v>
      </c>
      <c r="F17" s="321" t="s">
        <v>1611</v>
      </c>
    </row>
    <row r="18" spans="1:6" ht="15" x14ac:dyDescent="0.2">
      <c r="A18" s="321" t="s">
        <v>1598</v>
      </c>
      <c r="B18" s="338"/>
      <c r="F18" s="330" t="s">
        <v>1637</v>
      </c>
    </row>
    <row r="19" spans="1:6" ht="18" x14ac:dyDescent="0.25">
      <c r="A19" s="323" t="s">
        <v>725</v>
      </c>
      <c r="B19" s="325">
        <f>SUM(B17:B18)</f>
        <v>503436.81000000006</v>
      </c>
    </row>
    <row r="21" spans="1:6" ht="18.75" thickBot="1" x14ac:dyDescent="0.3">
      <c r="A21" s="323" t="s">
        <v>1599</v>
      </c>
    </row>
    <row r="22" spans="1:6" ht="18.75" thickTop="1" x14ac:dyDescent="0.25">
      <c r="A22" s="323" t="s">
        <v>1600</v>
      </c>
      <c r="B22" s="329">
        <f>B14-B19</f>
        <v>-18290.780000000028</v>
      </c>
      <c r="F22" s="321" t="s">
        <v>1612</v>
      </c>
    </row>
    <row r="26" spans="1:6" ht="18" x14ac:dyDescent="0.25">
      <c r="A26" s="323" t="s">
        <v>186</v>
      </c>
    </row>
    <row r="27" spans="1:6" ht="15" x14ac:dyDescent="0.2">
      <c r="A27" s="321" t="s">
        <v>1601</v>
      </c>
      <c r="B27" s="324">
        <f>'DOE25'!G180</f>
        <v>36840</v>
      </c>
      <c r="F27" s="321" t="s">
        <v>1613</v>
      </c>
    </row>
    <row r="28" spans="1:6" ht="15" x14ac:dyDescent="0.2">
      <c r="A28" s="321" t="s">
        <v>1603</v>
      </c>
      <c r="B28" s="324">
        <f>'DOE25'!L362</f>
        <v>0</v>
      </c>
      <c r="F28" s="321" t="s">
        <v>1614</v>
      </c>
    </row>
    <row r="31" spans="1:6" ht="15" x14ac:dyDescent="0.2">
      <c r="A31" s="321" t="s">
        <v>1640</v>
      </c>
      <c r="B31" s="324">
        <f>'DOE25'!G466</f>
        <v>26924</v>
      </c>
      <c r="F31" s="321" t="s">
        <v>1615</v>
      </c>
    </row>
    <row r="33" spans="1:6" ht="15" x14ac:dyDescent="0.2">
      <c r="A33" s="321" t="s">
        <v>1641</v>
      </c>
      <c r="B33" s="324">
        <f>'DOE25'!G477</f>
        <v>15151.260000000009</v>
      </c>
      <c r="F33" s="321" t="s">
        <v>1616</v>
      </c>
    </row>
    <row r="36" spans="1:6" ht="15" x14ac:dyDescent="0.2">
      <c r="A36" s="321" t="s">
        <v>1602</v>
      </c>
      <c r="B36" s="339">
        <v>31033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5" workbookViewId="0">
      <selection activeCell="B75" sqref="B7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Newport SD</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3175271</v>
      </c>
      <c r="C9" s="229">
        <f>'DOE25'!G198+'DOE25'!G216+'DOE25'!G234+'DOE25'!G277+'DOE25'!G296+'DOE25'!G315</f>
        <v>1797955</v>
      </c>
    </row>
    <row r="10" spans="1:3" x14ac:dyDescent="0.2">
      <c r="A10" t="s">
        <v>775</v>
      </c>
      <c r="B10" s="240">
        <v>2848984</v>
      </c>
      <c r="C10" s="240">
        <v>1688023</v>
      </c>
    </row>
    <row r="11" spans="1:3" x14ac:dyDescent="0.2">
      <c r="A11" t="s">
        <v>776</v>
      </c>
      <c r="B11" s="240">
        <v>57135</v>
      </c>
      <c r="C11" s="240">
        <v>28305</v>
      </c>
    </row>
    <row r="12" spans="1:3" x14ac:dyDescent="0.2">
      <c r="A12" t="s">
        <v>777</v>
      </c>
      <c r="B12" s="240">
        <f>71910+715+3947+192580</f>
        <v>269152</v>
      </c>
      <c r="C12" s="240">
        <f>1797955-1716328</f>
        <v>81627</v>
      </c>
    </row>
    <row r="13" spans="1:3" x14ac:dyDescent="0.2">
      <c r="A13" t="str">
        <f>IF(B9=B13,IF(C9=C13,"Check Total OK","Check Total Error"),"Check Total Error")</f>
        <v>Check Total OK</v>
      </c>
      <c r="B13" s="231">
        <f>SUM(B10:B12)</f>
        <v>3175271</v>
      </c>
      <c r="C13" s="231">
        <f>SUM(C10:C12)</f>
        <v>1797955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1783862</v>
      </c>
      <c r="C18" s="229">
        <f>'DOE25'!G199+'DOE25'!G217+'DOE25'!G235+'DOE25'!G278+'DOE25'!G297+'DOE25'!G316</f>
        <v>833358</v>
      </c>
    </row>
    <row r="19" spans="1:3" x14ac:dyDescent="0.2">
      <c r="A19" t="s">
        <v>775</v>
      </c>
      <c r="B19" s="240">
        <v>683034</v>
      </c>
      <c r="C19" s="240">
        <v>404697</v>
      </c>
    </row>
    <row r="20" spans="1:3" x14ac:dyDescent="0.2">
      <c r="A20" t="s">
        <v>776</v>
      </c>
      <c r="B20" s="240">
        <v>1007153</v>
      </c>
      <c r="C20" s="240">
        <v>418176</v>
      </c>
    </row>
    <row r="21" spans="1:3" x14ac:dyDescent="0.2">
      <c r="A21" t="s">
        <v>777</v>
      </c>
      <c r="B21" s="240">
        <f>92645+78+951+1</f>
        <v>93675</v>
      </c>
      <c r="C21" s="240">
        <f>833358-822873</f>
        <v>10485</v>
      </c>
    </row>
    <row r="22" spans="1:3" x14ac:dyDescent="0.2">
      <c r="A22" t="str">
        <f>IF(B18=B22,IF(C18=C22,"Check Total OK","Check Total Error"),"Check Total Error")</f>
        <v>Check Total OK</v>
      </c>
      <c r="B22" s="231">
        <f>SUM(B19:B21)</f>
        <v>1783862</v>
      </c>
      <c r="C22" s="231">
        <f>SUM(C19:C21)</f>
        <v>833358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394789</v>
      </c>
      <c r="C27" s="234">
        <f>'DOE25'!G200+'DOE25'!G218+'DOE25'!G236+'DOE25'!G279+'DOE25'!G298+'DOE25'!G317</f>
        <v>231662</v>
      </c>
    </row>
    <row r="28" spans="1:3" x14ac:dyDescent="0.2">
      <c r="A28" t="s">
        <v>775</v>
      </c>
      <c r="B28" s="240">
        <f>384789+10000</f>
        <v>394789</v>
      </c>
      <c r="C28" s="240">
        <v>231662</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394789</v>
      </c>
      <c r="C31" s="231">
        <f>SUM(C28:C30)</f>
        <v>231662</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170810</v>
      </c>
      <c r="C36" s="235">
        <f>'DOE25'!G201+'DOE25'!G219+'DOE25'!G237+'DOE25'!G280+'DOE25'!G299+'DOE25'!G318</f>
        <v>36805</v>
      </c>
    </row>
    <row r="37" spans="1:3" x14ac:dyDescent="0.2">
      <c r="A37" t="s">
        <v>775</v>
      </c>
      <c r="B37" s="240">
        <f>60469+17480+1</f>
        <v>77950</v>
      </c>
      <c r="C37" s="240">
        <v>16796</v>
      </c>
    </row>
    <row r="38" spans="1:3" x14ac:dyDescent="0.2">
      <c r="A38" t="s">
        <v>776</v>
      </c>
      <c r="B38" s="240">
        <v>360</v>
      </c>
      <c r="C38" s="240">
        <v>78</v>
      </c>
    </row>
    <row r="39" spans="1:3" x14ac:dyDescent="0.2">
      <c r="A39" t="s">
        <v>777</v>
      </c>
      <c r="B39" s="240">
        <f>21270+71230</f>
        <v>92500</v>
      </c>
      <c r="C39" s="240">
        <v>19931</v>
      </c>
    </row>
    <row r="40" spans="1:3" x14ac:dyDescent="0.2">
      <c r="A40" t="str">
        <f>IF(B36=B40,IF(C36=C40,"Check Total OK","Check Total Error"),"Check Total Error")</f>
        <v>Check Total OK</v>
      </c>
      <c r="B40" s="231">
        <f>SUM(B37:B39)</f>
        <v>170810</v>
      </c>
      <c r="C40" s="231">
        <f>SUM(C37:C39)</f>
        <v>36805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Newport SD</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9517821</v>
      </c>
      <c r="D5" s="20">
        <f>SUM('DOE25'!L198:L201)+SUM('DOE25'!L216:L219)+SUM('DOE25'!L234:L237)-F5-G5-H5</f>
        <v>8964774</v>
      </c>
      <c r="E5" s="243"/>
      <c r="F5" s="244">
        <f>36722+70288+58940+336067</f>
        <v>502017</v>
      </c>
      <c r="G5" s="53">
        <f>SUM('DOE25'!J198:J201)+SUM('DOE25'!J216:J219)+SUM('DOE25'!J234:J237)</f>
        <v>39642</v>
      </c>
      <c r="H5" s="53">
        <f>SUM('DOE25'!K198:K201)+SUM('DOE25'!K216:K219)+SUM('DOE25'!K234:K237)</f>
        <v>11388</v>
      </c>
      <c r="I5" s="256"/>
    </row>
    <row r="6" spans="1:9" x14ac:dyDescent="0.2">
      <c r="A6" s="32">
        <v>2100</v>
      </c>
      <c r="B6" t="s">
        <v>796</v>
      </c>
      <c r="C6" s="276">
        <f t="shared" si="0"/>
        <v>1560720</v>
      </c>
      <c r="D6" s="20">
        <f>'DOE25'!L203+'DOE25'!L221+'DOE25'!L239-F6-G6-H6</f>
        <v>1352219</v>
      </c>
      <c r="E6" s="243"/>
      <c r="F6" s="244">
        <f>57495+42602+108225</f>
        <v>208322</v>
      </c>
      <c r="G6" s="53">
        <f>'DOE25'!J203+'DOE25'!J221+'DOE25'!J239</f>
        <v>0</v>
      </c>
      <c r="H6" s="53">
        <f>'DOE25'!K203+'DOE25'!K221+'DOE25'!K239</f>
        <v>179</v>
      </c>
      <c r="I6" s="256"/>
    </row>
    <row r="7" spans="1:9" x14ac:dyDescent="0.2">
      <c r="A7" s="32">
        <v>2200</v>
      </c>
      <c r="B7" t="s">
        <v>821</v>
      </c>
      <c r="C7" s="276">
        <f t="shared" si="0"/>
        <v>1092764</v>
      </c>
      <c r="D7" s="20">
        <f>'DOE25'!L204+'DOE25'!L222+'DOE25'!L240-F7-G7-H7</f>
        <v>783257</v>
      </c>
      <c r="E7" s="243"/>
      <c r="F7" s="244">
        <v>53295</v>
      </c>
      <c r="G7" s="53">
        <f>'DOE25'!J204+'DOE25'!J222+'DOE25'!J240</f>
        <v>255872</v>
      </c>
      <c r="H7" s="53">
        <f>'DOE25'!K204+'DOE25'!K222+'DOE25'!K240</f>
        <v>340</v>
      </c>
      <c r="I7" s="256"/>
    </row>
    <row r="8" spans="1:9" x14ac:dyDescent="0.2">
      <c r="A8" s="32">
        <v>2300</v>
      </c>
      <c r="B8" t="s">
        <v>797</v>
      </c>
      <c r="C8" s="276">
        <f t="shared" si="0"/>
        <v>419536</v>
      </c>
      <c r="D8" s="243"/>
      <c r="E8" s="20">
        <f>'DOE25'!L205+'DOE25'!L223+'DOE25'!L241-F8-G8-H8-D9-D11</f>
        <v>413205</v>
      </c>
      <c r="F8" s="244"/>
      <c r="G8" s="53">
        <f>'DOE25'!J205+'DOE25'!J223+'DOE25'!J241</f>
        <v>1070</v>
      </c>
      <c r="H8" s="53">
        <f>'DOE25'!K205+'DOE25'!K223+'DOE25'!K241</f>
        <v>5261</v>
      </c>
      <c r="I8" s="256"/>
    </row>
    <row r="9" spans="1:9" ht="14.25" x14ac:dyDescent="0.2">
      <c r="A9" s="32">
        <v>2310</v>
      </c>
      <c r="B9" s="185" t="s">
        <v>890</v>
      </c>
      <c r="C9" s="276">
        <f t="shared" si="0"/>
        <v>140547</v>
      </c>
      <c r="D9" s="244">
        <v>140547</v>
      </c>
      <c r="E9" s="243"/>
      <c r="F9" s="253"/>
      <c r="G9" s="253"/>
      <c r="H9" s="253"/>
      <c r="I9" s="256"/>
    </row>
    <row r="10" spans="1:9" ht="14.25" x14ac:dyDescent="0.2">
      <c r="A10" s="32">
        <v>2317</v>
      </c>
      <c r="B10" s="185" t="s">
        <v>891</v>
      </c>
      <c r="C10" s="276">
        <f t="shared" si="0"/>
        <v>25050</v>
      </c>
      <c r="D10" s="243"/>
      <c r="E10" s="244">
        <v>25050</v>
      </c>
      <c r="F10" s="253"/>
      <c r="G10" s="253"/>
      <c r="H10" s="253"/>
      <c r="I10" s="256"/>
    </row>
    <row r="11" spans="1:9" ht="14.25" x14ac:dyDescent="0.2">
      <c r="A11" s="32">
        <v>2321</v>
      </c>
      <c r="B11" s="185" t="s">
        <v>892</v>
      </c>
      <c r="C11" s="276">
        <f t="shared" si="0"/>
        <v>232908</v>
      </c>
      <c r="D11" s="244">
        <v>232908</v>
      </c>
      <c r="E11" s="243"/>
      <c r="F11" s="253"/>
      <c r="G11" s="253"/>
      <c r="H11" s="253"/>
      <c r="I11" s="256"/>
    </row>
    <row r="12" spans="1:9" x14ac:dyDescent="0.2">
      <c r="A12" s="32">
        <v>2400</v>
      </c>
      <c r="B12" t="s">
        <v>711</v>
      </c>
      <c r="C12" s="276">
        <f t="shared" si="0"/>
        <v>1128841</v>
      </c>
      <c r="D12" s="20">
        <f>'DOE25'!L206+'DOE25'!L224+'DOE25'!L242-F12-G12-H12</f>
        <v>1119337</v>
      </c>
      <c r="E12" s="243"/>
      <c r="F12" s="244"/>
      <c r="G12" s="53">
        <f>'DOE25'!J206+'DOE25'!J224+'DOE25'!J242</f>
        <v>1250</v>
      </c>
      <c r="H12" s="53">
        <f>'DOE25'!K206+'DOE25'!K224+'DOE25'!K242</f>
        <v>8254</v>
      </c>
      <c r="I12" s="256"/>
    </row>
    <row r="13" spans="1:9" x14ac:dyDescent="0.2">
      <c r="A13" s="32">
        <v>2500</v>
      </c>
      <c r="B13" t="s">
        <v>798</v>
      </c>
      <c r="C13" s="276">
        <f t="shared" si="0"/>
        <v>568042</v>
      </c>
      <c r="D13" s="243"/>
      <c r="E13" s="20">
        <f>'DOE25'!L207+'DOE25'!L225+'DOE25'!L243-F13-G13-H13</f>
        <v>565686</v>
      </c>
      <c r="F13" s="244"/>
      <c r="G13" s="53">
        <f>'DOE25'!J207+'DOE25'!J225+'DOE25'!J243</f>
        <v>1347</v>
      </c>
      <c r="H13" s="53">
        <f>'DOE25'!K207+'DOE25'!K225+'DOE25'!K243</f>
        <v>1009</v>
      </c>
      <c r="I13" s="256"/>
    </row>
    <row r="14" spans="1:9" x14ac:dyDescent="0.2">
      <c r="A14" s="32">
        <v>2600</v>
      </c>
      <c r="B14" t="s">
        <v>819</v>
      </c>
      <c r="C14" s="276">
        <f t="shared" si="0"/>
        <v>1928907</v>
      </c>
      <c r="D14" s="20">
        <f>'DOE25'!L208+'DOE25'!L226+'DOE25'!L244-F14-G14-H14</f>
        <v>1729472</v>
      </c>
      <c r="E14" s="243"/>
      <c r="F14" s="244">
        <f>40139+25192+69274</f>
        <v>134605</v>
      </c>
      <c r="G14" s="53">
        <f>'DOE25'!J208+'DOE25'!J226+'DOE25'!J244</f>
        <v>63922</v>
      </c>
      <c r="H14" s="53">
        <f>'DOE25'!K208+'DOE25'!K226+'DOE25'!K244</f>
        <v>908</v>
      </c>
      <c r="I14" s="256"/>
    </row>
    <row r="15" spans="1:9" x14ac:dyDescent="0.2">
      <c r="A15" s="32">
        <v>2700</v>
      </c>
      <c r="B15" t="s">
        <v>799</v>
      </c>
      <c r="C15" s="276">
        <f t="shared" si="0"/>
        <v>583555</v>
      </c>
      <c r="D15" s="20">
        <f>'DOE25'!L209+'DOE25'!L227+'DOE25'!L245-F15-G15-H15</f>
        <v>478787</v>
      </c>
      <c r="E15" s="243"/>
      <c r="F15" s="244">
        <f>43190+56404</f>
        <v>99594</v>
      </c>
      <c r="G15" s="53">
        <f>'DOE25'!J209+'DOE25'!J227+'DOE25'!J245</f>
        <v>4069</v>
      </c>
      <c r="H15" s="53">
        <f>'DOE25'!K209+'DOE25'!K227+'DOE25'!K245</f>
        <v>1105</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684650</v>
      </c>
      <c r="D25" s="243"/>
      <c r="E25" s="243"/>
      <c r="F25" s="255"/>
      <c r="G25" s="253"/>
      <c r="H25" s="253"/>
      <c r="I25" s="254">
        <f>'DOE25'!L261+'DOE25'!L262+'DOE25'!L342+'DOE25'!L343</f>
        <v>684650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472403.89000000007</v>
      </c>
      <c r="D29" s="284">
        <f>'DOE25'!L359+'DOE25'!L360+'DOE25'!L361-'DOE25'!I368-F29-G29-H29</f>
        <v>21238.210000000072</v>
      </c>
      <c r="E29" s="243"/>
      <c r="F29" s="244">
        <v>433203</v>
      </c>
      <c r="G29" s="53">
        <f>'DOE25'!J359+'DOE25'!J360+'DOE25'!J361</f>
        <v>17962.68</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1016332</v>
      </c>
      <c r="D31" s="20">
        <f>'DOE25'!L291+'DOE25'!L310+'DOE25'!L329+'DOE25'!L334+'DOE25'!L335+'DOE25'!L336-F31-G31-H31</f>
        <v>919243</v>
      </c>
      <c r="E31" s="243"/>
      <c r="F31" s="244"/>
      <c r="G31" s="53">
        <f>'DOE25'!J291+'DOE25'!J310+'DOE25'!J329+'DOE25'!J334+'DOE25'!J335+'DOE25'!J336</f>
        <v>94562</v>
      </c>
      <c r="H31" s="53">
        <f>'DOE25'!K291+'DOE25'!K310+'DOE25'!K329+'DOE25'!K334+'DOE25'!K335+'DOE25'!K336</f>
        <v>2527</v>
      </c>
      <c r="I31" s="256"/>
    </row>
    <row r="32" spans="1:9" ht="12" thickBot="1" x14ac:dyDescent="0.25">
      <c r="C32" s="277"/>
      <c r="G32" s="251"/>
      <c r="H32" s="251"/>
      <c r="I32" s="258"/>
    </row>
    <row r="33" spans="1:9" ht="12" thickTop="1" x14ac:dyDescent="0.2">
      <c r="B33" t="s">
        <v>809</v>
      </c>
      <c r="D33" s="245">
        <f t="shared" ref="D33:I33" si="1">SUM(D5:D31)</f>
        <v>15741782.210000001</v>
      </c>
      <c r="E33" s="245">
        <f t="shared" si="1"/>
        <v>1003941</v>
      </c>
      <c r="F33" s="245">
        <f t="shared" si="1"/>
        <v>1431036</v>
      </c>
      <c r="G33" s="245">
        <f t="shared" si="1"/>
        <v>479696.68</v>
      </c>
      <c r="H33" s="245">
        <f t="shared" si="1"/>
        <v>30971</v>
      </c>
      <c r="I33" s="245">
        <f t="shared" si="1"/>
        <v>684650</v>
      </c>
    </row>
    <row r="35" spans="1:9" ht="12" thickBot="1" x14ac:dyDescent="0.25">
      <c r="B35" s="251" t="s">
        <v>831</v>
      </c>
      <c r="D35" s="252">
        <f>E33</f>
        <v>1003941</v>
      </c>
      <c r="E35" s="248"/>
    </row>
    <row r="36" spans="1:9" ht="12" thickTop="1" x14ac:dyDescent="0.2">
      <c r="B36" t="s">
        <v>810</v>
      </c>
      <c r="D36" s="20">
        <f>D33</f>
        <v>15741782.210000001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Newport SD</v>
      </c>
      <c r="B2" s="126">
        <f>'DOE25'!B2</f>
        <v>401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7555568</v>
      </c>
      <c r="G4" s="303">
        <f>'DOE25'!L212+'DOE25'!L291</f>
        <v>7555568</v>
      </c>
      <c r="H4" s="337">
        <f>F4-G4</f>
        <v>0</v>
      </c>
      <c r="I4" s="309" t="str">
        <f>IF(H4=0,"","Does not match DOE25 page 7 and 11 Totals!!")</f>
        <v/>
      </c>
      <c r="N4"/>
    </row>
    <row r="5" spans="1:18" x14ac:dyDescent="0.2">
      <c r="A5" s="21" t="s">
        <v>1330</v>
      </c>
      <c r="B5" s="304">
        <f>IFERROR(VLOOKUP(A5,'School Tables'!$C$3:$D$365,2,FALSE),"")</f>
        <v>21995</v>
      </c>
      <c r="C5" s="297" t="str">
        <f>IFERROR(INDEX('School Tables'!$B$3:$B$365,MATCH('School Level Expenditures'!B5,'School Tables'!$D$3:$D$365,0)),"")</f>
        <v>Newport</v>
      </c>
      <c r="D5" s="294">
        <v>7017514</v>
      </c>
      <c r="E5" s="294">
        <v>538054</v>
      </c>
      <c r="F5" s="312">
        <f>D5+E5</f>
        <v>7555568</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4049225</v>
      </c>
      <c r="G24" s="303">
        <f>'DOE25'!L230+'DOE25'!L310</f>
        <v>4049225</v>
      </c>
      <c r="H24" s="337">
        <f>F24-G24</f>
        <v>0</v>
      </c>
      <c r="I24" s="309" t="str">
        <f>IF(H24=0,"","Does not match DOE25 page 8 and 12 Totals!!")</f>
        <v/>
      </c>
      <c r="N24"/>
    </row>
    <row r="25" spans="1:14" x14ac:dyDescent="0.2">
      <c r="A25" s="21" t="s">
        <v>1328</v>
      </c>
      <c r="B25" s="304">
        <f>IFERROR(VLOOKUP(A25,'School Tables'!$I$3:$J$80,2,FALSE),"")</f>
        <v>26970</v>
      </c>
      <c r="C25" s="297" t="str">
        <f t="array" ref="C25">IFERROR(INDEX('School Tables'!$H$3:$H$80,MATCH('School Level Expenditures'!B25,'School Tables'!$J$3:$J$80,0)),"")</f>
        <v>Newport</v>
      </c>
      <c r="D25" s="294">
        <v>3878730</v>
      </c>
      <c r="E25" s="294">
        <v>170495</v>
      </c>
      <c r="F25" s="307">
        <f>D25+E25</f>
        <v>4049225</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6509584</v>
      </c>
      <c r="G36" s="303">
        <f>'DOE25'!L248+'DOE25'!L329</f>
        <v>6509584</v>
      </c>
      <c r="H36" s="337">
        <f>F36-G36</f>
        <v>0</v>
      </c>
      <c r="I36" s="309" t="str">
        <f>IF(H36=0,"","Does not match DOE25 page 9 and 13 Totals!!")</f>
        <v/>
      </c>
      <c r="N36"/>
    </row>
    <row r="37" spans="1:14" x14ac:dyDescent="0.2">
      <c r="A37" s="21" t="s">
        <v>1329</v>
      </c>
      <c r="B37" s="304">
        <f>IFERROR(VLOOKUP(A37,'School Tables'!$O$3:$P$118,2,FALSE),"")</f>
        <v>21985</v>
      </c>
      <c r="C37" s="297" t="str">
        <f t="array" ref="C37">IFERROR(INDEX('School Tables'!$N$3:$N$118,MATCH('School Level Expenditures'!B37,'School Tables'!$P$3:$P$118,0)),"")</f>
        <v>Newport</v>
      </c>
      <c r="D37" s="294">
        <v>6277397</v>
      </c>
      <c r="E37" s="294">
        <v>232187</v>
      </c>
      <c r="F37" s="307">
        <f>D37+E37</f>
        <v>6509584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J32" sqref="J3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Newport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461981.28</v>
      </c>
      <c r="D8" s="95">
        <f>'DOE25'!G9</f>
        <v>200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122507.62</v>
      </c>
      <c r="D11" s="95">
        <f>'DOE25'!G12</f>
        <v>0</v>
      </c>
      <c r="E11" s="95">
        <f>'DOE25'!H12</f>
        <v>0</v>
      </c>
      <c r="F11" s="95">
        <f>'DOE25'!I12</f>
        <v>0</v>
      </c>
      <c r="G11" s="95">
        <f>'DOE25'!J12</f>
        <v>0</v>
      </c>
      <c r="H11" s="124"/>
      <c r="I11" s="124"/>
    </row>
    <row r="12" spans="1:9" x14ac:dyDescent="0.2">
      <c r="A12" s="1" t="s">
        <v>143</v>
      </c>
      <c r="B12" s="6">
        <v>140</v>
      </c>
      <c r="C12" s="95">
        <f>'DOE25'!F13</f>
        <v>26802</v>
      </c>
      <c r="D12" s="95">
        <f>'DOE25'!G13</f>
        <v>60927.1</v>
      </c>
      <c r="E12" s="95">
        <f>'DOE25'!H13</f>
        <v>206182.25</v>
      </c>
      <c r="F12" s="95">
        <f>'DOE25'!I13</f>
        <v>0</v>
      </c>
      <c r="G12" s="95">
        <f>'DOE25'!J13</f>
        <v>404826</v>
      </c>
      <c r="H12" s="124"/>
      <c r="I12" s="124"/>
    </row>
    <row r="13" spans="1:9" x14ac:dyDescent="0.2">
      <c r="A13" s="1" t="s">
        <v>144</v>
      </c>
      <c r="B13" s="6">
        <v>150</v>
      </c>
      <c r="C13" s="95">
        <f>'DOE25'!F14</f>
        <v>157613.54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9545.65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768904.44000000006</v>
      </c>
      <c r="D18" s="41">
        <f>SUM(D8:D17)</f>
        <v>70672.75</v>
      </c>
      <c r="E18" s="41">
        <f>SUM(E8:E17)</f>
        <v>206182.25</v>
      </c>
      <c r="F18" s="41">
        <f>SUM(F8:F17)</f>
        <v>0</v>
      </c>
      <c r="G18" s="41">
        <f>SUM(G8:G17)</f>
        <v>404826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32701.21</v>
      </c>
      <c r="E21" s="95">
        <f>'DOE25'!H22</f>
        <v>89806.409999999989</v>
      </c>
      <c r="F21" s="95">
        <f>'DOE25'!I22</f>
        <v>0</v>
      </c>
      <c r="G21" s="95">
        <f>'DOE25'!J22</f>
        <v>0</v>
      </c>
      <c r="H21" s="124"/>
      <c r="I21" s="124"/>
    </row>
    <row r="22" spans="1:9" x14ac:dyDescent="0.2">
      <c r="A22" s="1" t="s">
        <v>151</v>
      </c>
      <c r="B22" s="6">
        <v>410</v>
      </c>
      <c r="C22" s="95">
        <f>'DOE25'!F23</f>
        <v>0</v>
      </c>
      <c r="D22" s="95">
        <f>'DOE25'!G23</f>
        <v>0</v>
      </c>
      <c r="E22" s="95">
        <f>'DOE25'!H23</f>
        <v>33660.020000000004</v>
      </c>
      <c r="F22" s="95">
        <f>'DOE25'!I23</f>
        <v>0</v>
      </c>
      <c r="G22" s="95">
        <f>'DOE25'!J23</f>
        <v>0</v>
      </c>
      <c r="H22" s="124"/>
      <c r="I22" s="124"/>
    </row>
    <row r="23" spans="1:9" x14ac:dyDescent="0.2">
      <c r="A23" s="1" t="s">
        <v>152</v>
      </c>
      <c r="B23" s="6">
        <v>420</v>
      </c>
      <c r="C23" s="95">
        <f>'DOE25'!F24</f>
        <v>707504.27</v>
      </c>
      <c r="D23" s="95">
        <f>'DOE25'!G24</f>
        <v>11633</v>
      </c>
      <c r="E23" s="95">
        <f>'DOE25'!H24</f>
        <v>19764.010000000002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48915.34</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4421.1099999999997</v>
      </c>
      <c r="E29" s="95">
        <f>'DOE25'!H30</f>
        <v>2855.62</v>
      </c>
      <c r="F29" s="95">
        <f>'DOE25'!I30</f>
        <v>0</v>
      </c>
      <c r="G29" s="24" t="s">
        <v>288</v>
      </c>
      <c r="H29" s="124"/>
      <c r="I29" s="124"/>
    </row>
    <row r="30" spans="1:9" ht="12" thickBot="1" x14ac:dyDescent="0.25">
      <c r="A30" s="1" t="s">
        <v>159</v>
      </c>
      <c r="B30" s="71">
        <v>490</v>
      </c>
      <c r="C30" s="95">
        <f>'DOE25'!F31</f>
        <v>0</v>
      </c>
      <c r="D30" s="95">
        <f>'DOE25'!G31</f>
        <v>6766.17</v>
      </c>
      <c r="E30" s="95">
        <f>'DOE25'!H31</f>
        <v>10534.07</v>
      </c>
      <c r="F30" s="95">
        <f>'DOE25'!I31</f>
        <v>0</v>
      </c>
      <c r="G30" s="95">
        <f>'DOE25'!J31</f>
        <v>0</v>
      </c>
      <c r="H30" s="124"/>
      <c r="I30" s="124"/>
    </row>
    <row r="31" spans="1:9" ht="12" thickTop="1" x14ac:dyDescent="0.2">
      <c r="A31" s="38" t="s">
        <v>160</v>
      </c>
      <c r="B31" s="2"/>
      <c r="C31" s="41">
        <f>SUM(C21:C30)</f>
        <v>756419.61</v>
      </c>
      <c r="D31" s="41">
        <f>SUM(D21:D30)</f>
        <v>55521.49</v>
      </c>
      <c r="E31" s="41">
        <f>SUM(E21:E30)</f>
        <v>156620.13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9545.65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5605.609999999986</v>
      </c>
      <c r="E47" s="95">
        <f>'DOE25'!H48</f>
        <v>49562.12</v>
      </c>
      <c r="F47" s="95">
        <f>'DOE25'!I48</f>
        <v>0</v>
      </c>
      <c r="G47" s="95">
        <f>'DOE25'!J48</f>
        <v>404826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12484.830000002979</v>
      </c>
      <c r="D49" s="24" t="s">
        <v>288</v>
      </c>
      <c r="E49" s="24" t="s">
        <v>288</v>
      </c>
      <c r="F49" s="24" t="s">
        <v>288</v>
      </c>
      <c r="G49" s="24" t="s">
        <v>288</v>
      </c>
      <c r="H49" s="124"/>
      <c r="I49" s="124"/>
    </row>
    <row r="50" spans="1:9" ht="12.75" thickTop="1" thickBot="1" x14ac:dyDescent="0.25">
      <c r="A50" s="38" t="s">
        <v>884</v>
      </c>
      <c r="B50" s="48"/>
      <c r="C50" s="41">
        <f>SUM(C34:C49)</f>
        <v>12484.830000002979</v>
      </c>
      <c r="D50" s="41">
        <f>SUM(D34:D49)</f>
        <v>15151.259999999986</v>
      </c>
      <c r="E50" s="41">
        <f>SUM(E34:E49)</f>
        <v>49562.12</v>
      </c>
      <c r="F50" s="41">
        <f>SUM(F34:F49)</f>
        <v>0</v>
      </c>
      <c r="G50" s="41">
        <f>SUM(G34:G49)</f>
        <v>404826</v>
      </c>
      <c r="H50" s="124"/>
      <c r="I50" s="124"/>
    </row>
    <row r="51" spans="1:9" ht="12" thickTop="1" x14ac:dyDescent="0.2">
      <c r="A51" s="38" t="s">
        <v>885</v>
      </c>
      <c r="B51" s="2"/>
      <c r="C51" s="41">
        <f>C50+C31</f>
        <v>768904.44000000297</v>
      </c>
      <c r="D51" s="41">
        <f>D50+D31</f>
        <v>70672.749999999985</v>
      </c>
      <c r="E51" s="41">
        <f>E50+E31</f>
        <v>206182.25</v>
      </c>
      <c r="F51" s="41">
        <f>F50+F31</f>
        <v>0</v>
      </c>
      <c r="G51" s="41">
        <f>G50+G31</f>
        <v>404826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6763446</v>
      </c>
      <c r="D56" s="95">
        <f>'DOE25'!G60</f>
        <v>0</v>
      </c>
      <c r="E56" s="95">
        <f>'DOE25'!H60</f>
        <v>0</v>
      </c>
      <c r="F56" s="95">
        <f>'DOE25'!I60</f>
        <v>0</v>
      </c>
      <c r="G56" s="95">
        <f>'DOE25'!J60</f>
        <v>0</v>
      </c>
      <c r="H56"/>
      <c r="I56"/>
    </row>
    <row r="57" spans="1:9" x14ac:dyDescent="0.2">
      <c r="A57" s="1" t="s">
        <v>164</v>
      </c>
      <c r="B57" s="6" t="s">
        <v>165</v>
      </c>
      <c r="C57" s="95">
        <f>'DOE25'!F79</f>
        <v>1749200.4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10696.61</v>
      </c>
      <c r="D59" s="95">
        <f>'DOE25'!G96</f>
        <v>0</v>
      </c>
      <c r="E59" s="95">
        <f>'DOE25'!H96</f>
        <v>0</v>
      </c>
      <c r="F59" s="95">
        <f>'DOE25'!I96</f>
        <v>0</v>
      </c>
      <c r="G59" s="95">
        <f>'DOE25'!J96</f>
        <v>0</v>
      </c>
      <c r="H59"/>
      <c r="I59"/>
    </row>
    <row r="60" spans="1:9" x14ac:dyDescent="0.2">
      <c r="A60" s="1" t="s">
        <v>170</v>
      </c>
      <c r="B60" s="118" t="s">
        <v>171</v>
      </c>
      <c r="C60" s="24" t="s">
        <v>288</v>
      </c>
      <c r="D60" s="95">
        <f>'DOE25'!G97</f>
        <v>91497.09</v>
      </c>
      <c r="E60" s="24" t="s">
        <v>288</v>
      </c>
      <c r="F60" s="24" t="s">
        <v>288</v>
      </c>
      <c r="G60" s="24" t="s">
        <v>288</v>
      </c>
      <c r="H60"/>
      <c r="I60"/>
    </row>
    <row r="61" spans="1:9" ht="12" thickBot="1" x14ac:dyDescent="0.25">
      <c r="A61" s="1" t="s">
        <v>172</v>
      </c>
      <c r="B61" s="118" t="s">
        <v>173</v>
      </c>
      <c r="C61" s="95">
        <f>SUM('DOE25'!F98:F110)</f>
        <v>-1089.1999999999998</v>
      </c>
      <c r="D61" s="95">
        <f>SUM('DOE25'!G98:G110)</f>
        <v>0</v>
      </c>
      <c r="E61" s="95">
        <f>SUM('DOE25'!H98:H110)</f>
        <v>17799</v>
      </c>
      <c r="F61" s="95">
        <f>SUM('DOE25'!I98:I110)</f>
        <v>0</v>
      </c>
      <c r="G61" s="95">
        <f>SUM('DOE25'!J98:J110)</f>
        <v>0</v>
      </c>
      <c r="H61"/>
      <c r="I61"/>
    </row>
    <row r="62" spans="1:9" ht="12.75" thickTop="1" thickBot="1" x14ac:dyDescent="0.25">
      <c r="A62" s="29" t="s">
        <v>174</v>
      </c>
      <c r="B62" s="6"/>
      <c r="C62" s="130">
        <f>SUM(C57:C61)</f>
        <v>1758807.81</v>
      </c>
      <c r="D62" s="130">
        <f>SUM(D57:D61)</f>
        <v>91497.09</v>
      </c>
      <c r="E62" s="130">
        <f>SUM(E57:E61)</f>
        <v>17799</v>
      </c>
      <c r="F62" s="130">
        <f>SUM(F57:F61)</f>
        <v>0</v>
      </c>
      <c r="G62" s="130">
        <f>SUM(G57:G61)</f>
        <v>0</v>
      </c>
      <c r="H62"/>
      <c r="I62"/>
    </row>
    <row r="63" spans="1:9" ht="12" thickTop="1" x14ac:dyDescent="0.2">
      <c r="A63" s="29" t="s">
        <v>175</v>
      </c>
      <c r="B63" s="6"/>
      <c r="C63" s="22">
        <f>C56+C62</f>
        <v>8522253.8100000005</v>
      </c>
      <c r="D63" s="22">
        <f>D56+D62</f>
        <v>91497.09</v>
      </c>
      <c r="E63" s="22">
        <f>E56+E62</f>
        <v>17799</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7086707.9400000004</v>
      </c>
      <c r="D66" s="24" t="s">
        <v>288</v>
      </c>
      <c r="E66" s="24" t="s">
        <v>288</v>
      </c>
      <c r="F66" s="24" t="s">
        <v>288</v>
      </c>
      <c r="G66" s="24" t="s">
        <v>288</v>
      </c>
      <c r="H66"/>
      <c r="I66"/>
    </row>
    <row r="67" spans="1:9" x14ac:dyDescent="0.2">
      <c r="A67" s="1" t="s">
        <v>770</v>
      </c>
      <c r="B67" s="6">
        <v>3112</v>
      </c>
      <c r="C67" s="95">
        <f>'DOE25'!F118</f>
        <v>890709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3535</v>
      </c>
      <c r="F69" s="95">
        <f>'DOE25'!I120</f>
        <v>0</v>
      </c>
      <c r="G69" s="95">
        <f>'DOE25'!J120</f>
        <v>0</v>
      </c>
      <c r="H69"/>
      <c r="I69"/>
    </row>
    <row r="70" spans="1:9" ht="12" thickTop="1" x14ac:dyDescent="0.2">
      <c r="A70" s="29" t="s">
        <v>252</v>
      </c>
      <c r="B70" s="2"/>
      <c r="C70" s="139">
        <f>SUM(C66:C69)</f>
        <v>7977416.9400000004</v>
      </c>
      <c r="D70" s="139">
        <f>D69</f>
        <v>0</v>
      </c>
      <c r="E70" s="139">
        <f>E69</f>
        <v>3535</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339729.59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283030.69</v>
      </c>
      <c r="D75" s="24" t="s">
        <v>288</v>
      </c>
      <c r="E75" s="24" t="s">
        <v>288</v>
      </c>
      <c r="F75" s="24" t="s">
        <v>288</v>
      </c>
      <c r="G75" s="24" t="s">
        <v>288</v>
      </c>
      <c r="H75"/>
      <c r="I75"/>
    </row>
    <row r="76" spans="1:9" x14ac:dyDescent="0.2">
      <c r="A76" s="1" t="s">
        <v>257</v>
      </c>
      <c r="B76" s="6" t="s">
        <v>179</v>
      </c>
      <c r="C76" s="95">
        <f>SUM('DOE25'!F127:F130)</f>
        <v>83269.72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6582.6</v>
      </c>
      <c r="E77" s="95">
        <f>SUM('DOE25'!H131:H135)</f>
        <v>0</v>
      </c>
      <c r="F77" s="95">
        <f>SUM('DOE25'!I131:I135)</f>
        <v>0</v>
      </c>
      <c r="G77" s="95">
        <f>SUM('DOE25'!J131:J135)</f>
        <v>0</v>
      </c>
      <c r="H77"/>
      <c r="I77"/>
    </row>
    <row r="78" spans="1:9" ht="12.75" thickTop="1" thickBot="1" x14ac:dyDescent="0.25">
      <c r="A78" s="29" t="s">
        <v>259</v>
      </c>
      <c r="B78" s="6"/>
      <c r="C78" s="130">
        <f>SUM(C72:C77)</f>
        <v>706030</v>
      </c>
      <c r="D78" s="130">
        <f>SUM(D72:D77)</f>
        <v>6582.6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8683446.9400000013</v>
      </c>
      <c r="D81" s="130">
        <f>SUM(D79:D80)+D78+D70</f>
        <v>6582.6</v>
      </c>
      <c r="E81" s="130">
        <f>SUM(E79:E80)+E78+E70</f>
        <v>3535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31228.78</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241609.5</v>
      </c>
      <c r="D88" s="341">
        <f>SUM('DOE25'!G153:G162)</f>
        <v>387066.34</v>
      </c>
      <c r="E88" s="341">
        <f>SUM('DOE25'!H153:H162)</f>
        <v>1019977</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272838.28000000003</v>
      </c>
      <c r="D91" s="131">
        <f>SUM(D85:D90)</f>
        <v>387066.34</v>
      </c>
      <c r="E91" s="131">
        <f>SUM(E85:E90)</f>
        <v>1019977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36840</v>
      </c>
      <c r="E96" s="95">
        <f>'DOE25'!H180</f>
        <v>24429</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36840</v>
      </c>
      <c r="E103" s="86">
        <f>SUM(E93:E102)</f>
        <v>24429</v>
      </c>
      <c r="F103" s="86">
        <f>SUM(F93:F102)</f>
        <v>0</v>
      </c>
      <c r="G103" s="86">
        <f>SUM(G93:G102)</f>
        <v>0</v>
      </c>
    </row>
    <row r="104" spans="1:7" ht="12.75" thickTop="1" thickBot="1" x14ac:dyDescent="0.25">
      <c r="A104" s="33" t="s">
        <v>761</v>
      </c>
      <c r="C104" s="86">
        <f>C63+C81+C91+C103</f>
        <v>17478539.030000001</v>
      </c>
      <c r="D104" s="86">
        <f>D63+D81+D91+D103</f>
        <v>521986.03</v>
      </c>
      <c r="E104" s="86">
        <f>E63+E81+E91+E103</f>
        <v>1065740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4743183</v>
      </c>
      <c r="D109" s="24" t="s">
        <v>288</v>
      </c>
      <c r="E109" s="95">
        <f>('DOE25'!L277)+('DOE25'!L296)+('DOE25'!L315)</f>
        <v>386927</v>
      </c>
      <c r="F109" s="24" t="s">
        <v>288</v>
      </c>
      <c r="G109" s="24" t="s">
        <v>288</v>
      </c>
    </row>
    <row r="110" spans="1:7" x14ac:dyDescent="0.2">
      <c r="A110" t="s">
        <v>198</v>
      </c>
      <c r="B110" s="32" t="s">
        <v>199</v>
      </c>
      <c r="C110" s="95">
        <f>('DOE25'!L199)+('DOE25'!L217)+('DOE25'!L235)</f>
        <v>3853882</v>
      </c>
      <c r="D110" s="24" t="s">
        <v>288</v>
      </c>
      <c r="E110" s="95">
        <f>('DOE25'!L278)+('DOE25'!L297)+('DOE25'!L316)</f>
        <v>272356</v>
      </c>
      <c r="F110" s="24" t="s">
        <v>288</v>
      </c>
      <c r="G110" s="24" t="s">
        <v>288</v>
      </c>
    </row>
    <row r="111" spans="1:7" x14ac:dyDescent="0.2">
      <c r="A111" t="s">
        <v>200</v>
      </c>
      <c r="B111" s="32" t="s">
        <v>165</v>
      </c>
      <c r="C111" s="95">
        <f>('DOE25'!L200)+('DOE25'!L218)+('DOE25'!L236)</f>
        <v>639244</v>
      </c>
      <c r="D111" s="24" t="s">
        <v>288</v>
      </c>
      <c r="E111" s="95">
        <f>('DOE25'!L279)+('DOE25'!L298)+('DOE25'!L317)</f>
        <v>75487</v>
      </c>
      <c r="F111" s="24" t="s">
        <v>288</v>
      </c>
      <c r="G111" s="24" t="s">
        <v>288</v>
      </c>
    </row>
    <row r="112" spans="1:7" x14ac:dyDescent="0.2">
      <c r="A112" t="s">
        <v>201</v>
      </c>
      <c r="B112" s="32" t="s">
        <v>167</v>
      </c>
      <c r="C112" s="95">
        <f>('DOE25'!L201)+('DOE25'!L219)+('DOE25'!L237)</f>
        <v>281512</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75596</v>
      </c>
      <c r="F114" s="24" t="s">
        <v>288</v>
      </c>
      <c r="G114" s="24" t="s">
        <v>288</v>
      </c>
    </row>
    <row r="115" spans="1:7" ht="12.75" thickTop="1" thickBot="1" x14ac:dyDescent="0.25">
      <c r="A115" s="33" t="s">
        <v>205</v>
      </c>
      <c r="C115" s="86">
        <f>SUM(C109:C114)</f>
        <v>9517821</v>
      </c>
      <c r="D115" s="86">
        <f>SUM(D109:D114)</f>
        <v>0</v>
      </c>
      <c r="E115" s="86">
        <f>SUM(E109:E114)</f>
        <v>810366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1560720</v>
      </c>
      <c r="D118" s="24" t="s">
        <v>288</v>
      </c>
      <c r="E118" s="95">
        <f>+('DOE25'!L282)+('DOE25'!L301)+('DOE25'!L320)</f>
        <v>131432</v>
      </c>
      <c r="F118" s="24" t="s">
        <v>288</v>
      </c>
      <c r="G118" s="24" t="s">
        <v>288</v>
      </c>
    </row>
    <row r="119" spans="1:7" x14ac:dyDescent="0.2">
      <c r="A119" t="s">
        <v>208</v>
      </c>
      <c r="B119" s="32" t="s">
        <v>209</v>
      </c>
      <c r="C119" s="95">
        <f>('DOE25'!L204)+('DOE25'!L222)+('DOE25'!L240)</f>
        <v>1092764</v>
      </c>
      <c r="D119" s="24" t="s">
        <v>288</v>
      </c>
      <c r="E119" s="95">
        <f>+('DOE25'!L283)+('DOE25'!L302)+('DOE25'!L321)</f>
        <v>3692</v>
      </c>
      <c r="F119" s="24" t="s">
        <v>288</v>
      </c>
      <c r="G119" s="24" t="s">
        <v>288</v>
      </c>
    </row>
    <row r="120" spans="1:7" x14ac:dyDescent="0.2">
      <c r="A120" t="s">
        <v>210</v>
      </c>
      <c r="B120" s="32" t="s">
        <v>211</v>
      </c>
      <c r="C120" s="95">
        <f>('DOE25'!L205)+('DOE25'!L223)+('DOE25'!L241)</f>
        <v>792991</v>
      </c>
      <c r="D120" s="24" t="s">
        <v>288</v>
      </c>
      <c r="E120" s="95">
        <f>+('DOE25'!L284)+('DOE25'!L303)+('DOE25'!L322)</f>
        <v>0</v>
      </c>
      <c r="F120" s="24" t="s">
        <v>288</v>
      </c>
      <c r="G120" s="24" t="s">
        <v>288</v>
      </c>
    </row>
    <row r="121" spans="1:7" x14ac:dyDescent="0.2">
      <c r="A121" t="s">
        <v>212</v>
      </c>
      <c r="B121" s="32" t="s">
        <v>213</v>
      </c>
      <c r="C121" s="95">
        <f>('DOE25'!L206)+('DOE25'!L224)+('DOE25'!L242)</f>
        <v>1128841</v>
      </c>
      <c r="D121" s="24" t="s">
        <v>288</v>
      </c>
      <c r="E121" s="95">
        <f>+('DOE25'!L285)+('DOE25'!L304)+('DOE25'!L323)</f>
        <v>66018</v>
      </c>
      <c r="F121" s="24" t="s">
        <v>288</v>
      </c>
      <c r="G121" s="24" t="s">
        <v>288</v>
      </c>
    </row>
    <row r="122" spans="1:7" x14ac:dyDescent="0.2">
      <c r="A122" t="s">
        <v>214</v>
      </c>
      <c r="B122" s="32" t="s">
        <v>215</v>
      </c>
      <c r="C122" s="95">
        <f>('DOE25'!L207)+('DOE25'!L225)+('DOE25'!L243)</f>
        <v>568042</v>
      </c>
      <c r="D122" s="24" t="s">
        <v>288</v>
      </c>
      <c r="E122" s="95">
        <f>+('DOE25'!L286)+('DOE25'!L305)+('DOE25'!L324)</f>
        <v>0</v>
      </c>
      <c r="F122" s="24" t="s">
        <v>288</v>
      </c>
      <c r="G122" s="24" t="s">
        <v>288</v>
      </c>
    </row>
    <row r="123" spans="1:7" x14ac:dyDescent="0.2">
      <c r="A123" t="s">
        <v>216</v>
      </c>
      <c r="B123" s="32" t="s">
        <v>217</v>
      </c>
      <c r="C123" s="95">
        <f>('DOE25'!L208)+('DOE25'!L226)+('DOE25'!L244)</f>
        <v>1928907</v>
      </c>
      <c r="D123" s="24" t="s">
        <v>288</v>
      </c>
      <c r="E123" s="95">
        <f>+('DOE25'!L287)+('DOE25'!L306)+('DOE25'!L325)</f>
        <v>995</v>
      </c>
      <c r="F123" s="24" t="s">
        <v>288</v>
      </c>
      <c r="G123" s="24" t="s">
        <v>288</v>
      </c>
    </row>
    <row r="124" spans="1:7" x14ac:dyDescent="0.2">
      <c r="A124" t="s">
        <v>218</v>
      </c>
      <c r="B124" s="32" t="s">
        <v>219</v>
      </c>
      <c r="C124" s="95">
        <f>('DOE25'!L209)+('DOE25'!L227)+('DOE25'!L245+'DOE25'!L255)</f>
        <v>583555</v>
      </c>
      <c r="D124" s="24" t="s">
        <v>288</v>
      </c>
      <c r="E124" s="95">
        <f>+('DOE25'!L288)+('DOE25'!L307)+('DOE25'!L326)</f>
        <v>3829</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503436.81000000006</v>
      </c>
      <c r="E127" s="24" t="s">
        <v>288</v>
      </c>
      <c r="F127" s="24" t="s">
        <v>288</v>
      </c>
      <c r="G127" s="24" t="s">
        <v>288</v>
      </c>
    </row>
    <row r="128" spans="1:7" ht="12.75" thickTop="1" thickBot="1" x14ac:dyDescent="0.25">
      <c r="A128" s="33" t="s">
        <v>226</v>
      </c>
      <c r="C128" s="86">
        <f>SUM(C118:C127)</f>
        <v>7655820</v>
      </c>
      <c r="D128" s="86">
        <f>SUM(D118:D127)</f>
        <v>503436.81000000006</v>
      </c>
      <c r="E128" s="86">
        <f>SUM(E118:E127)</f>
        <v>205966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510000</v>
      </c>
      <c r="D131" s="24" t="s">
        <v>288</v>
      </c>
      <c r="E131" s="129">
        <f>'DOE25'!L342</f>
        <v>0</v>
      </c>
      <c r="F131" s="24" t="s">
        <v>288</v>
      </c>
      <c r="G131" s="24" t="s">
        <v>288</v>
      </c>
    </row>
    <row r="132" spans="1:7" x14ac:dyDescent="0.2">
      <c r="A132" t="s">
        <v>230</v>
      </c>
      <c r="B132" s="32">
        <v>5120</v>
      </c>
      <c r="C132" s="95">
        <f>'DOE25'!L262</f>
        <v>174650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36840</v>
      </c>
      <c r="D135" s="24" t="s">
        <v>288</v>
      </c>
      <c r="E135" s="129">
        <f>'DOE25'!L346</f>
        <v>0</v>
      </c>
      <c r="F135" s="24" t="s">
        <v>288</v>
      </c>
      <c r="G135" s="24" t="s">
        <v>288</v>
      </c>
    </row>
    <row r="136" spans="1:7" x14ac:dyDescent="0.2">
      <c r="A136" t="s">
        <v>235</v>
      </c>
      <c r="B136" s="32" t="s">
        <v>236</v>
      </c>
      <c r="C136" s="95">
        <f>'DOE25'!L265</f>
        <v>24429</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745919</v>
      </c>
      <c r="D144" s="141">
        <f>SUM(D130:D143)</f>
        <v>0</v>
      </c>
      <c r="E144" s="141">
        <f>SUM(E130:E143)</f>
        <v>0</v>
      </c>
      <c r="F144" s="141">
        <f>SUM(F130:F143)</f>
        <v>0</v>
      </c>
      <c r="G144" s="141">
        <f>SUM(G130:G143)</f>
        <v>0</v>
      </c>
    </row>
    <row r="145" spans="1:9" ht="12.75" thickTop="1" thickBot="1" x14ac:dyDescent="0.25">
      <c r="A145" s="33" t="s">
        <v>244</v>
      </c>
      <c r="C145" s="86">
        <f>(C115+C128+C144)</f>
        <v>17919560</v>
      </c>
      <c r="D145" s="86">
        <f>(D115+D128+D144)</f>
        <v>503436.81000000006</v>
      </c>
      <c r="E145" s="86">
        <f>(E115+E128+E144)</f>
        <v>1016332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08/15/2007</v>
      </c>
      <c r="C152" s="152">
        <f>'DOE25'!G492</f>
        <v>0</v>
      </c>
      <c r="D152" s="152">
        <f>'DOE25'!H492</f>
        <v>0</v>
      </c>
      <c r="E152" s="152">
        <f>'DOE25'!I492</f>
        <v>0</v>
      </c>
      <c r="F152" s="152">
        <f>'DOE25'!J492</f>
        <v>0</v>
      </c>
      <c r="G152" s="24" t="s">
        <v>288</v>
      </c>
    </row>
    <row r="153" spans="1:9" x14ac:dyDescent="0.2">
      <c r="A153" s="136" t="s">
        <v>29</v>
      </c>
      <c r="B153" s="152" t="str">
        <f>'DOE25'!F493</f>
        <v>08/05/2027</v>
      </c>
      <c r="C153" s="152">
        <f>'DOE25'!G493</f>
        <v>0</v>
      </c>
      <c r="D153" s="152">
        <f>'DOE25'!H493</f>
        <v>0</v>
      </c>
      <c r="E153" s="152">
        <f>'DOE25'!I493</f>
        <v>0</v>
      </c>
      <c r="F153" s="152">
        <f>'DOE25'!J493</f>
        <v>0</v>
      </c>
      <c r="G153" s="24" t="s">
        <v>288</v>
      </c>
    </row>
    <row r="154" spans="1:9" x14ac:dyDescent="0.2">
      <c r="A154" s="136" t="s">
        <v>30</v>
      </c>
      <c r="B154" s="137">
        <f>'DOE25'!F494</f>
        <v>10158100</v>
      </c>
      <c r="C154" s="137">
        <f>'DOE25'!G494</f>
        <v>0</v>
      </c>
      <c r="D154" s="137">
        <f>'DOE25'!H494</f>
        <v>0</v>
      </c>
      <c r="E154" s="137">
        <f>'DOE25'!I494</f>
        <v>0</v>
      </c>
      <c r="F154" s="137">
        <f>'DOE25'!J494</f>
        <v>0</v>
      </c>
      <c r="G154" s="24" t="s">
        <v>288</v>
      </c>
    </row>
    <row r="155" spans="1:9" x14ac:dyDescent="0.2">
      <c r="A155" s="136" t="s">
        <v>31</v>
      </c>
      <c r="B155" s="137">
        <f>'DOE25'!F495</f>
        <v>5</v>
      </c>
      <c r="C155" s="137">
        <f>'DOE25'!G495</f>
        <v>0</v>
      </c>
      <c r="D155" s="137">
        <f>'DOE25'!H495</f>
        <v>0</v>
      </c>
      <c r="E155" s="137">
        <f>'DOE25'!I495</f>
        <v>0</v>
      </c>
      <c r="F155" s="137">
        <f>'DOE25'!J495</f>
        <v>0</v>
      </c>
      <c r="G155" s="24" t="s">
        <v>288</v>
      </c>
    </row>
    <row r="156" spans="1:9" x14ac:dyDescent="0.2">
      <c r="A156" s="22" t="s">
        <v>32</v>
      </c>
      <c r="B156" s="137">
        <f>'DOE25'!F496</f>
        <v>4550000</v>
      </c>
      <c r="C156" s="137">
        <f>'DOE25'!G496</f>
        <v>0</v>
      </c>
      <c r="D156" s="137">
        <f>'DOE25'!H496</f>
        <v>0</v>
      </c>
      <c r="E156" s="137">
        <f>'DOE25'!I496</f>
        <v>0</v>
      </c>
      <c r="F156" s="137">
        <f>'DOE25'!J496</f>
        <v>0</v>
      </c>
      <c r="G156" s="138">
        <f>SUM(B156:F156)</f>
        <v>4550000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510000</v>
      </c>
      <c r="C158" s="137">
        <f>'DOE25'!G498</f>
        <v>0</v>
      </c>
      <c r="D158" s="137">
        <f>'DOE25'!H498</f>
        <v>0</v>
      </c>
      <c r="E158" s="137">
        <f>'DOE25'!I498</f>
        <v>0</v>
      </c>
      <c r="F158" s="137">
        <f>'DOE25'!J498</f>
        <v>0</v>
      </c>
      <c r="G158" s="138">
        <f t="shared" si="0"/>
        <v>510000</v>
      </c>
    </row>
    <row r="159" spans="1:9" x14ac:dyDescent="0.2">
      <c r="A159" s="22" t="s">
        <v>35</v>
      </c>
      <c r="B159" s="137">
        <f>'DOE25'!F499</f>
        <v>4040000</v>
      </c>
      <c r="C159" s="137">
        <f>'DOE25'!G499</f>
        <v>0</v>
      </c>
      <c r="D159" s="137">
        <f>'DOE25'!H499</f>
        <v>0</v>
      </c>
      <c r="E159" s="137">
        <f>'DOE25'!I499</f>
        <v>0</v>
      </c>
      <c r="F159" s="137">
        <f>'DOE25'!J499</f>
        <v>0</v>
      </c>
      <c r="G159" s="138">
        <f t="shared" si="0"/>
        <v>4040000</v>
      </c>
    </row>
    <row r="160" spans="1:9" x14ac:dyDescent="0.2">
      <c r="A160" s="22" t="s">
        <v>36</v>
      </c>
      <c r="B160" s="137">
        <f>'DOE25'!F500</f>
        <v>498476</v>
      </c>
      <c r="C160" s="137">
        <f>'DOE25'!G500</f>
        <v>0</v>
      </c>
      <c r="D160" s="137">
        <f>'DOE25'!H500</f>
        <v>0</v>
      </c>
      <c r="E160" s="137">
        <f>'DOE25'!I500</f>
        <v>0</v>
      </c>
      <c r="F160" s="137">
        <f>'DOE25'!J500</f>
        <v>0</v>
      </c>
      <c r="G160" s="138">
        <f t="shared" si="0"/>
        <v>498476</v>
      </c>
    </row>
    <row r="161" spans="1:7" x14ac:dyDescent="0.2">
      <c r="A161" s="22" t="s">
        <v>37</v>
      </c>
      <c r="B161" s="137">
        <f>'DOE25'!F501</f>
        <v>4538476</v>
      </c>
      <c r="C161" s="137">
        <f>'DOE25'!G501</f>
        <v>0</v>
      </c>
      <c r="D161" s="137">
        <f>'DOE25'!H501</f>
        <v>0</v>
      </c>
      <c r="E161" s="137">
        <f>'DOE25'!I501</f>
        <v>0</v>
      </c>
      <c r="F161" s="137">
        <f>'DOE25'!J501</f>
        <v>0</v>
      </c>
      <c r="G161" s="138">
        <f t="shared" si="0"/>
        <v>4538476</v>
      </c>
    </row>
    <row r="162" spans="1:7" x14ac:dyDescent="0.2">
      <c r="A162" s="22" t="s">
        <v>38</v>
      </c>
      <c r="B162" s="137">
        <f>'DOE25'!F502</f>
        <v>505000</v>
      </c>
      <c r="C162" s="137">
        <f>'DOE25'!G502</f>
        <v>0</v>
      </c>
      <c r="D162" s="137">
        <f>'DOE25'!H502</f>
        <v>0</v>
      </c>
      <c r="E162" s="137">
        <f>'DOE25'!I502</f>
        <v>0</v>
      </c>
      <c r="F162" s="137">
        <f>'DOE25'!J502</f>
        <v>0</v>
      </c>
      <c r="G162" s="138">
        <f t="shared" si="0"/>
        <v>505000</v>
      </c>
    </row>
    <row r="163" spans="1:7" x14ac:dyDescent="0.2">
      <c r="A163" s="22" t="s">
        <v>39</v>
      </c>
      <c r="B163" s="137">
        <f>'DOE25'!F503</f>
        <v>149906.25</v>
      </c>
      <c r="C163" s="137">
        <f>'DOE25'!G503</f>
        <v>0</v>
      </c>
      <c r="D163" s="137">
        <f>'DOE25'!H503</f>
        <v>0</v>
      </c>
      <c r="E163" s="137">
        <f>'DOE25'!I503</f>
        <v>0</v>
      </c>
      <c r="F163" s="137">
        <f>'DOE25'!J503</f>
        <v>0</v>
      </c>
      <c r="G163" s="138">
        <f t="shared" si="0"/>
        <v>149906.25</v>
      </c>
    </row>
    <row r="164" spans="1:7" x14ac:dyDescent="0.2">
      <c r="A164" s="22" t="s">
        <v>246</v>
      </c>
      <c r="B164" s="137">
        <f>'DOE25'!F504</f>
        <v>654906.25</v>
      </c>
      <c r="C164" s="137">
        <f>'DOE25'!G504</f>
        <v>0</v>
      </c>
      <c r="D164" s="137">
        <f>'DOE25'!H504</f>
        <v>0</v>
      </c>
      <c r="E164" s="137">
        <f>'DOE25'!I504</f>
        <v>0</v>
      </c>
      <c r="F164" s="137">
        <f>'DOE25'!J504</f>
        <v>0</v>
      </c>
      <c r="G164" s="138">
        <f t="shared" si="0"/>
        <v>654906.25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Newport SD</v>
      </c>
    </row>
    <row r="3" spans="1:4" x14ac:dyDescent="0.2">
      <c r="B3" s="188" t="s">
        <v>1587</v>
      </c>
    </row>
    <row r="4" spans="1:4" x14ac:dyDescent="0.2">
      <c r="B4" t="s">
        <v>61</v>
      </c>
      <c r="C4" s="179">
        <f>IF('DOE25'!F666+'DOE25'!F671=0,0,ROUND('DOE25'!F673,0))</f>
        <v>18468</v>
      </c>
    </row>
    <row r="5" spans="1:4" x14ac:dyDescent="0.2">
      <c r="B5" t="s">
        <v>700</v>
      </c>
      <c r="C5" s="179">
        <f>IF('DOE25'!G666+'DOE25'!G671=0,0,ROUND('DOE25'!G673,0))</f>
        <v>17353</v>
      </c>
    </row>
    <row r="6" spans="1:4" x14ac:dyDescent="0.2">
      <c r="B6" t="s">
        <v>62</v>
      </c>
      <c r="C6" s="179">
        <f>IF('DOE25'!H666+'DOE25'!H671=0,0,ROUND('DOE25'!H673,0))</f>
        <v>18694</v>
      </c>
    </row>
    <row r="7" spans="1:4" x14ac:dyDescent="0.2">
      <c r="B7" t="s">
        <v>701</v>
      </c>
      <c r="C7" s="179">
        <f>IF('DOE25'!I666+'DOE25'!I671=0,0,ROUND('DOE25'!I673,0))</f>
        <v>18283</v>
      </c>
    </row>
    <row r="9" spans="1:4" x14ac:dyDescent="0.2">
      <c r="A9" s="187" t="s">
        <v>94</v>
      </c>
      <c r="B9" s="188" t="s">
        <v>1588</v>
      </c>
      <c r="C9" s="181" t="s">
        <v>720</v>
      </c>
      <c r="D9" s="181" t="s">
        <v>721</v>
      </c>
    </row>
    <row r="10" spans="1:4" x14ac:dyDescent="0.2">
      <c r="A10">
        <v>1100</v>
      </c>
      <c r="B10" t="s">
        <v>702</v>
      </c>
      <c r="C10" s="179">
        <f>ROUND('DOE25'!L198+'DOE25'!L216+'DOE25'!L234+'DOE25'!L277+'DOE25'!L296+'DOE25'!L315,0)</f>
        <v>5130110</v>
      </c>
      <c r="D10" s="182">
        <f>ROUND((C10/$C$28)*100,1)</f>
        <v>27.3</v>
      </c>
    </row>
    <row r="11" spans="1:4" x14ac:dyDescent="0.2">
      <c r="A11">
        <v>1200</v>
      </c>
      <c r="B11" t="s">
        <v>703</v>
      </c>
      <c r="C11" s="179">
        <f>ROUND('DOE25'!L199+'DOE25'!L217+'DOE25'!L235+'DOE25'!L278+'DOE25'!L297+'DOE25'!L316,0)</f>
        <v>4126238</v>
      </c>
      <c r="D11" s="182">
        <f>ROUND((C11/$C$28)*100,1)</f>
        <v>22</v>
      </c>
    </row>
    <row r="12" spans="1:4" x14ac:dyDescent="0.2">
      <c r="A12">
        <v>1300</v>
      </c>
      <c r="B12" t="s">
        <v>704</v>
      </c>
      <c r="C12" s="179">
        <f>ROUND('DOE25'!L200+'DOE25'!L218+'DOE25'!L236+'DOE25'!L279+'DOE25'!L298+'DOE25'!L317,0)</f>
        <v>714731</v>
      </c>
      <c r="D12" s="182">
        <f>ROUND((C12/$C$28)*100,1)</f>
        <v>3.8</v>
      </c>
    </row>
    <row r="13" spans="1:4" x14ac:dyDescent="0.2">
      <c r="A13">
        <v>1400</v>
      </c>
      <c r="B13" t="s">
        <v>705</v>
      </c>
      <c r="C13" s="179">
        <f>ROUND('DOE25'!L201+'DOE25'!L219+'DOE25'!L237+'DOE25'!L280+'DOE25'!L299+'DOE25'!L318,0)</f>
        <v>281512</v>
      </c>
      <c r="D13" s="182">
        <f>ROUND((C13/$C$28)*100,1)</f>
        <v>1.5</v>
      </c>
    </row>
    <row r="14" spans="1:4" x14ac:dyDescent="0.2">
      <c r="D14" s="182"/>
    </row>
    <row r="15" spans="1:4" x14ac:dyDescent="0.2">
      <c r="A15">
        <v>2100</v>
      </c>
      <c r="B15" t="s">
        <v>706</v>
      </c>
      <c r="C15" s="179">
        <f>ROUND('DOE25'!L203+'DOE25'!L221+'DOE25'!L239+'DOE25'!L282+'DOE25'!L301+'DOE25'!L320,0)</f>
        <v>1692152</v>
      </c>
      <c r="D15" s="182">
        <f t="shared" ref="D15:D27" si="0">ROUND((C15/$C$28)*100,1)</f>
        <v>9</v>
      </c>
    </row>
    <row r="16" spans="1:4" x14ac:dyDescent="0.2">
      <c r="A16">
        <v>2200</v>
      </c>
      <c r="B16" t="s">
        <v>707</v>
      </c>
      <c r="C16" s="179">
        <f>ROUND('DOE25'!L204+'DOE25'!L222+'DOE25'!L240+'DOE25'!L283+'DOE25'!L302+'DOE25'!L321,0)</f>
        <v>1096456</v>
      </c>
      <c r="D16" s="182">
        <f t="shared" si="0"/>
        <v>5.8</v>
      </c>
    </row>
    <row r="17" spans="1:4" x14ac:dyDescent="0.2">
      <c r="A17" s="183" t="s">
        <v>723</v>
      </c>
      <c r="B17" t="s">
        <v>738</v>
      </c>
      <c r="C17" s="179">
        <f>ROUND('DOE25'!L205+'DOE25'!L210+'DOE25'!L223+'DOE25'!L228+'DOE25'!L241+'DOE25'!L246+'DOE25'!L284+'DOE25'!L289+'DOE25'!L303+'DOE25'!L308+'DOE25'!L322+'DOE25'!L327,0)</f>
        <v>792991</v>
      </c>
      <c r="D17" s="182">
        <f t="shared" si="0"/>
        <v>4.2</v>
      </c>
    </row>
    <row r="18" spans="1:4" x14ac:dyDescent="0.2">
      <c r="A18">
        <v>2400</v>
      </c>
      <c r="B18" t="s">
        <v>711</v>
      </c>
      <c r="C18" s="179">
        <f>ROUND('DOE25'!L206+'DOE25'!L224+'DOE25'!L242+'DOE25'!L285+'DOE25'!L304+'DOE25'!L323,0)</f>
        <v>1194859</v>
      </c>
      <c r="D18" s="182">
        <f t="shared" si="0"/>
        <v>6.4</v>
      </c>
    </row>
    <row r="19" spans="1:4" x14ac:dyDescent="0.2">
      <c r="A19">
        <v>2500</v>
      </c>
      <c r="B19" t="s">
        <v>708</v>
      </c>
      <c r="C19" s="179">
        <f>ROUND('DOE25'!L207+'DOE25'!L225+'DOE25'!L243+'DOE25'!L286+'DOE25'!L305+'DOE25'!L324,0)</f>
        <v>568042</v>
      </c>
      <c r="D19" s="182">
        <f t="shared" si="0"/>
        <v>3</v>
      </c>
    </row>
    <row r="20" spans="1:4" x14ac:dyDescent="0.2">
      <c r="A20">
        <v>2600</v>
      </c>
      <c r="B20" t="s">
        <v>709</v>
      </c>
      <c r="C20" s="179">
        <f>ROUND('DOE25'!L208+'DOE25'!L226+'DOE25'!L244+'DOE25'!L287+'DOE25'!L306+'DOE25'!L325,0)</f>
        <v>1929902</v>
      </c>
      <c r="D20" s="182">
        <f t="shared" si="0"/>
        <v>10.3</v>
      </c>
    </row>
    <row r="21" spans="1:4" x14ac:dyDescent="0.2">
      <c r="A21">
        <v>2700</v>
      </c>
      <c r="B21" t="s">
        <v>710</v>
      </c>
      <c r="C21" s="179">
        <f>ROUND('DOE25'!L209+'DOE25'!L227+'DOE25'!L245+'DOE25'!L288+'DOE25'!L307+'DOE25'!L326,0)</f>
        <v>587384</v>
      </c>
      <c r="D21" s="182">
        <f t="shared" si="0"/>
        <v>3.1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75596</v>
      </c>
      <c r="D24" s="182">
        <f t="shared" si="0"/>
        <v>0.4</v>
      </c>
    </row>
    <row r="25" spans="1:4" x14ac:dyDescent="0.2">
      <c r="A25">
        <v>5120</v>
      </c>
      <c r="B25" t="s">
        <v>716</v>
      </c>
      <c r="C25" s="179">
        <f>ROUND('DOE25'!L262+'DOE25'!L343,0)</f>
        <v>174650</v>
      </c>
      <c r="D25" s="182">
        <f t="shared" si="0"/>
        <v>0.9</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411939.91000000003</v>
      </c>
      <c r="D27" s="182">
        <f t="shared" si="0"/>
        <v>2.2000000000000002</v>
      </c>
    </row>
    <row r="28" spans="1:4" x14ac:dyDescent="0.2">
      <c r="B28" s="187" t="s">
        <v>719</v>
      </c>
      <c r="C28" s="180">
        <f>SUM(C10:C27)</f>
        <v>18776562.91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18776562.91</v>
      </c>
    </row>
    <row r="31" spans="1:4" x14ac:dyDescent="0.2">
      <c r="B31" s="33"/>
      <c r="C31" s="180"/>
    </row>
    <row r="32" spans="1:4" x14ac:dyDescent="0.2">
      <c r="A32">
        <v>5100</v>
      </c>
      <c r="B32" s="33" t="s">
        <v>726</v>
      </c>
      <c r="C32" s="180">
        <f>ROUND('DOE25'!L261+'DOE25'!L342,0)</f>
        <v>510000</v>
      </c>
    </row>
    <row r="34" spans="1:4" x14ac:dyDescent="0.2">
      <c r="A34" s="187" t="s">
        <v>94</v>
      </c>
      <c r="B34" s="188" t="s">
        <v>1589</v>
      </c>
      <c r="C34" s="181" t="s">
        <v>720</v>
      </c>
      <c r="D34" s="181" t="s">
        <v>721</v>
      </c>
    </row>
    <row r="35" spans="1:4" x14ac:dyDescent="0.2">
      <c r="A35">
        <v>1100</v>
      </c>
      <c r="B35" s="185" t="s">
        <v>727</v>
      </c>
      <c r="C35" s="179">
        <f>ROUND('DOE25'!F60+'DOE25'!G60+'DOE25'!H60+'DOE25'!I60+'DOE25'!J60,0)</f>
        <v>6763446</v>
      </c>
      <c r="D35" s="182">
        <f t="shared" ref="D35:D40" si="1">ROUND((C35/$C$41)*100,1)</f>
        <v>35.799999999999997</v>
      </c>
    </row>
    <row r="36" spans="1:4" x14ac:dyDescent="0.2">
      <c r="B36" s="185" t="s">
        <v>739</v>
      </c>
      <c r="C36" s="179">
        <f>SUM('DOE25'!F112:J112)-SUM('DOE25'!G97:G110)+('DOE25'!F175+'DOE25'!F176+'DOE25'!I175+'DOE25'!I176)-C35</f>
        <v>1776606.8100000005</v>
      </c>
      <c r="D36" s="182">
        <f t="shared" si="1"/>
        <v>9.4</v>
      </c>
    </row>
    <row r="37" spans="1:4" x14ac:dyDescent="0.2">
      <c r="A37" s="183" t="s">
        <v>835</v>
      </c>
      <c r="B37" s="185" t="s">
        <v>728</v>
      </c>
      <c r="C37" s="179">
        <f>ROUND('DOE25'!F117+'DOE25'!F118,0)</f>
        <v>7977417</v>
      </c>
      <c r="D37" s="182">
        <f t="shared" si="1"/>
        <v>42.2</v>
      </c>
    </row>
    <row r="38" spans="1:4" x14ac:dyDescent="0.2">
      <c r="A38" s="183" t="s">
        <v>734</v>
      </c>
      <c r="B38" s="185" t="s">
        <v>729</v>
      </c>
      <c r="C38" s="179">
        <f>ROUND(SUM('DOE25'!F140:J140)-SUM('DOE25'!F117:F119),0)</f>
        <v>716148</v>
      </c>
      <c r="D38" s="182">
        <f t="shared" si="1"/>
        <v>3.8</v>
      </c>
    </row>
    <row r="39" spans="1:4" x14ac:dyDescent="0.2">
      <c r="A39">
        <v>4000</v>
      </c>
      <c r="B39" s="185" t="s">
        <v>730</v>
      </c>
      <c r="C39" s="179">
        <f>ROUND('DOE25'!F170+'DOE25'!G170+'DOE25'!H170+'DOE25'!I170,0)</f>
        <v>1679882</v>
      </c>
      <c r="D39" s="182">
        <f t="shared" si="1"/>
        <v>8.9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18913499.810000002</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Newport SD</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2020-11-18T17:39:52Z</cp:lastPrinted>
  <dcterms:created xsi:type="dcterms:W3CDTF">1997-12-04T19:04:30Z</dcterms:created>
  <dcterms:modified xsi:type="dcterms:W3CDTF">2020-12-11T19:38:12Z</dcterms:modified>
</cp:coreProperties>
</file>