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Expenditures'!$A$1:$H$53</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9" i="13" l="1"/>
  <c r="F15" i="13"/>
  <c r="H592" i="1"/>
  <c r="J592" i="1"/>
  <c r="G614" i="1"/>
  <c r="I612" i="1"/>
  <c r="H612" i="1"/>
  <c r="G612" i="1"/>
  <c r="F612" i="1"/>
  <c r="H596" i="1"/>
  <c r="H595" i="1"/>
  <c r="H593" i="1"/>
  <c r="F583" i="1"/>
  <c r="G527" i="1"/>
  <c r="G529" i="1"/>
  <c r="F529" i="1"/>
  <c r="F527" i="1"/>
  <c r="I527" i="1"/>
  <c r="J522" i="1"/>
  <c r="I522" i="1"/>
  <c r="G522" i="1"/>
  <c r="H524" i="1"/>
  <c r="H522" i="1"/>
  <c r="G524" i="1"/>
  <c r="H542" i="1"/>
  <c r="K534" i="1"/>
  <c r="K532" i="1"/>
  <c r="I534" i="1"/>
  <c r="I532" i="1"/>
  <c r="H534" i="1"/>
  <c r="H532" i="1"/>
  <c r="G534" i="1"/>
  <c r="G532" i="1"/>
  <c r="F532" i="1"/>
  <c r="F534" i="1"/>
  <c r="I529" i="1"/>
  <c r="H529" i="1"/>
  <c r="H527" i="1"/>
  <c r="I524" i="1"/>
  <c r="F522" i="1"/>
  <c r="F524" i="1"/>
  <c r="J315" i="1" l="1"/>
  <c r="F315" i="1"/>
  <c r="J321" i="1"/>
  <c r="I321" i="1"/>
  <c r="G321" i="1"/>
  <c r="F321" i="1"/>
  <c r="G320" i="1"/>
  <c r="F320" i="1"/>
  <c r="K334" i="1"/>
  <c r="J334" i="1"/>
  <c r="H334" i="1"/>
  <c r="G334" i="1"/>
  <c r="F334" i="1"/>
  <c r="K315" i="1"/>
  <c r="I315" i="1"/>
  <c r="H315" i="1"/>
  <c r="G315" i="1"/>
  <c r="I285" i="1"/>
  <c r="G285" i="1"/>
  <c r="F285" i="1"/>
  <c r="I283" i="1"/>
  <c r="G282" i="1"/>
  <c r="F282" i="1"/>
  <c r="I282" i="1"/>
  <c r="J282" i="1"/>
  <c r="J280" i="1"/>
  <c r="I280" i="1"/>
  <c r="G280" i="1"/>
  <c r="F280" i="1"/>
  <c r="H280" i="1"/>
  <c r="I278" i="1"/>
  <c r="I277" i="1"/>
  <c r="K277" i="1"/>
  <c r="J277" i="1"/>
  <c r="I198" i="1"/>
  <c r="I234" i="1"/>
  <c r="H244" i="1"/>
  <c r="H236" i="1"/>
  <c r="G240" i="1"/>
  <c r="G244" i="1"/>
  <c r="H245" i="1"/>
  <c r="J244" i="1"/>
  <c r="I244" i="1"/>
  <c r="F244" i="1"/>
  <c r="K242" i="1"/>
  <c r="I242" i="1"/>
  <c r="H242" i="1"/>
  <c r="G242" i="1"/>
  <c r="F242" i="1"/>
  <c r="J242" i="1"/>
  <c r="F240" i="1"/>
  <c r="I240" i="1"/>
  <c r="H240" i="1"/>
  <c r="I239" i="1"/>
  <c r="H239" i="1"/>
  <c r="G239" i="1"/>
  <c r="F239" i="1"/>
  <c r="J239" i="1"/>
  <c r="K239" i="1"/>
  <c r="G237" i="1"/>
  <c r="F237" i="1"/>
  <c r="I237" i="1"/>
  <c r="H237" i="1"/>
  <c r="I235" i="1"/>
  <c r="H235" i="1"/>
  <c r="G235" i="1"/>
  <c r="F235" i="1"/>
  <c r="K234" i="1"/>
  <c r="J234" i="1"/>
  <c r="H234" i="1"/>
  <c r="G234" i="1"/>
  <c r="F234" i="1"/>
  <c r="H208" i="1"/>
  <c r="J198" i="1"/>
  <c r="I203" i="1"/>
  <c r="G203" i="1"/>
  <c r="I199" i="1"/>
  <c r="G198" i="1"/>
  <c r="F198" i="1"/>
  <c r="K198" i="1"/>
  <c r="H198" i="1"/>
  <c r="H209" i="1"/>
  <c r="J208" i="1"/>
  <c r="I208" i="1"/>
  <c r="G208" i="1"/>
  <c r="F208" i="1"/>
  <c r="K206" i="1"/>
  <c r="I206" i="1"/>
  <c r="H206" i="1"/>
  <c r="G206" i="1"/>
  <c r="F206" i="1"/>
  <c r="J206" i="1"/>
  <c r="G204" i="1"/>
  <c r="F204" i="1"/>
  <c r="I204" i="1"/>
  <c r="H204" i="1"/>
  <c r="H203" i="1"/>
  <c r="F203" i="1"/>
  <c r="J203" i="1"/>
  <c r="K203" i="1"/>
  <c r="G201" i="1"/>
  <c r="F201" i="1"/>
  <c r="K201" i="1"/>
  <c r="I201" i="1"/>
  <c r="H201" i="1"/>
  <c r="J199" i="1"/>
  <c r="H199" i="1"/>
  <c r="G199" i="1"/>
  <c r="F199" i="1"/>
  <c r="G158" i="1"/>
  <c r="F30" i="1"/>
  <c r="F12" i="1"/>
  <c r="F9"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E125" i="2" s="1"/>
  <c r="L315" i="1"/>
  <c r="L316" i="1"/>
  <c r="L317" i="1"/>
  <c r="L318" i="1"/>
  <c r="L320" i="1"/>
  <c r="L321" i="1"/>
  <c r="E119" i="2" s="1"/>
  <c r="L322" i="1"/>
  <c r="L323" i="1"/>
  <c r="L324" i="1"/>
  <c r="L325" i="1"/>
  <c r="L326" i="1"/>
  <c r="H663" i="1" s="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E56" i="2" s="1"/>
  <c r="I60" i="1"/>
  <c r="F79" i="1"/>
  <c r="C57" i="2" s="1"/>
  <c r="F94" i="1"/>
  <c r="F111" i="1"/>
  <c r="G111" i="1"/>
  <c r="H79" i="1"/>
  <c r="H112" i="1" s="1"/>
  <c r="H94" i="1"/>
  <c r="H111" i="1"/>
  <c r="I111" i="1"/>
  <c r="I112" i="1" s="1"/>
  <c r="J111" i="1"/>
  <c r="F121" i="1"/>
  <c r="F136" i="1"/>
  <c r="G121" i="1"/>
  <c r="G136" i="1"/>
  <c r="H121" i="1"/>
  <c r="H136" i="1"/>
  <c r="I121" i="1"/>
  <c r="I136" i="1"/>
  <c r="J121" i="1"/>
  <c r="J140" i="1" s="1"/>
  <c r="J136" i="1"/>
  <c r="F147" i="1"/>
  <c r="F170" i="1"/>
  <c r="G147" i="1"/>
  <c r="H147" i="1"/>
  <c r="H170" i="1" s="1"/>
  <c r="I147" i="1"/>
  <c r="C11"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D115" i="2"/>
  <c r="F115" i="2"/>
  <c r="G115" i="2"/>
  <c r="E120" i="2"/>
  <c r="E123" i="2"/>
  <c r="E124" i="2"/>
  <c r="C125" i="2"/>
  <c r="F128" i="2"/>
  <c r="G128"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H409" i="1" s="1"/>
  <c r="H645" i="1" s="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3" i="1"/>
  <c r="H653" i="1"/>
  <c r="G654" i="1"/>
  <c r="H654" i="1"/>
  <c r="G655" i="1"/>
  <c r="H655" i="1"/>
  <c r="H656" i="1"/>
  <c r="J656" i="1" s="1"/>
  <c r="I170" i="1"/>
  <c r="H140" i="1"/>
  <c r="J652" i="1" l="1"/>
  <c r="G477" i="1"/>
  <c r="G339" i="1"/>
  <c r="G353" i="1" s="1"/>
  <c r="E112" i="2"/>
  <c r="D15" i="13"/>
  <c r="C15" i="13" s="1"/>
  <c r="C119" i="2"/>
  <c r="A40" i="12"/>
  <c r="C13" i="10"/>
  <c r="C12" i="10"/>
  <c r="C110" i="2"/>
  <c r="J258" i="1"/>
  <c r="J272" i="1" s="1"/>
  <c r="F258" i="1"/>
  <c r="C121" i="2"/>
  <c r="J112" i="1"/>
  <c r="H477" i="1"/>
  <c r="H625" i="1" s="1"/>
  <c r="J625" i="1" s="1"/>
  <c r="C91" i="2"/>
  <c r="E114" i="2"/>
  <c r="C20" i="10"/>
  <c r="D6" i="13"/>
  <c r="C6" i="13" s="1"/>
  <c r="E13" i="13"/>
  <c r="C13" i="13" s="1"/>
  <c r="L402" i="1"/>
  <c r="C139" i="2" s="1"/>
  <c r="H462" i="1"/>
  <c r="H642" i="1" s="1"/>
  <c r="J642" i="1" s="1"/>
  <c r="D50" i="2"/>
  <c r="G553" i="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E128" i="2" s="1"/>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D103" i="2"/>
  <c r="I140" i="1"/>
  <c r="A22" i="12"/>
  <c r="G50" i="2"/>
  <c r="J653" i="1"/>
  <c r="G572" i="1"/>
  <c r="I435" i="1"/>
  <c r="G435" i="1"/>
  <c r="I664" i="1"/>
  <c r="G36" i="14" l="1"/>
  <c r="H36" i="14" s="1"/>
  <c r="I36" i="14" s="1"/>
  <c r="F661" i="1"/>
  <c r="F665" i="1" s="1"/>
  <c r="F668" i="1" s="1"/>
  <c r="H661" i="1"/>
  <c r="H665" i="1" s="1"/>
  <c r="H668" i="1" s="1"/>
  <c r="C81" i="2"/>
  <c r="F194" i="1"/>
  <c r="G628" i="1" s="1"/>
  <c r="J628" i="1" s="1"/>
  <c r="E145" i="2"/>
  <c r="C141" i="2"/>
  <c r="C144" i="2" s="1"/>
  <c r="H649" i="1"/>
  <c r="J649" i="1"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<sst xmlns="http://schemas.openxmlformats.org/spreadsheetml/2006/main" count="5549" uniqueCount="1645">
  <si>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</si>
  <si>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</si>
  <si>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</si>
  <si>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</si>
  <si>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</si>
  <si>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</si>
  <si>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</si>
  <si>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</si>
  <si>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</si>
  <si>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</si>
  <si>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</si>
  <si>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</si>
  <si>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</si>
  <si>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</si>
  <si>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</si>
  <si>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</si>
  <si>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</si>
  <si>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</si>
  <si>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</si>
  <si>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</si>
  <si>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</si>
  <si>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</si>
  <si>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</si>
  <si>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</si>
  <si>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</si>
  <si>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</si>
  <si>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</si>
  <si>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</si>
  <si>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</si>
  <si>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</si>
  <si>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</si>
  <si>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</si>
  <si>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</si>
  <si>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</si>
  <si>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</si>
  <si>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</si>
  <si>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</si>
  <si>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</si>
  <si>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</si>
  <si>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</si>
  <si>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</si>
  <si>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</si>
  <si>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</si>
  <si>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</si>
  <si>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</si>
  <si>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</si>
  <si>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</si>
  <si>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</si>
  <si>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</si>
  <si>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</si>
  <si>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</si>
  <si>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</si>
  <si>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</si>
  <si>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</si>
  <si>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</si>
  <si>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</si>
  <si>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</si>
  <si>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</si>
  <si>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</si>
  <si>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</si>
  <si>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</si>
  <si>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</si>
  <si>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</si>
  <si>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</si>
  <si>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</si>
  <si>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</si>
  <si>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</si>
  <si>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</si>
  <si>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</si>
  <si>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</si>
  <si>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</si>
  <si>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</si>
  <si>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</si>
  <si>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</si>
  <si>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</si>
  <si>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</si>
  <si>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</si>
  <si>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</si>
  <si>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</si>
  <si>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</si>
  <si>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</si>
  <si>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</si>
  <si>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</si>
  <si>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</si>
  <si>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</si>
  <si>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</si>
  <si>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</si>
  <si>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</si>
  <si>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</si>
  <si>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</si>
  <si>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</si>
  <si>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</si>
  <si>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</si>
  <si>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</si>
  <si>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</si>
  <si>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</si>
  <si>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</si>
  <si>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</si>
  <si>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</si>
  <si>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</si>
  <si>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</si>
  <si>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</si>
  <si>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</si>
  <si>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</si>
  <si>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</si>
  <si>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</si>
  <si>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</si>
  <si>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</si>
  <si>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</si>
  <si>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</si>
  <si>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</si>
  <si>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</si>
  <si>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</si>
  <si>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</si>
  <si>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</si>
  <si>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</si>
  <si>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</si>
  <si>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</si>
  <si>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</si>
  <si>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</si>
  <si>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</si>
  <si>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</si>
  <si>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</si>
  <si>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</si>
  <si>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</si>
  <si>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</si>
  <si>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</si>
  <si>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</si>
  <si>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</si>
  <si>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</si>
  <si>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</si>
  <si>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</si>
  <si>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</si>
  <si>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</si>
  <si>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</si>
  <si>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</si>
  <si>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</si>
  <si>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</si>
  <si>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</si>
  <si>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</si>
  <si>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</si>
  <si>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</si>
  <si>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</si>
  <si>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</si>
  <si>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</si>
  <si>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</si>
  <si>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</si>
  <si>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</si>
  <si>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</si>
  <si>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</si>
  <si>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</si>
  <si>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</si>
  <si>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</si>
  <si>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</si>
  <si>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</si>
  <si>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</si>
  <si>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</si>
  <si>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</si>
  <si>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</si>
  <si>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</si>
  <si>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</si>
  <si>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</si>
  <si>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</si>
  <si>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</si>
  <si>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</si>
  <si>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</si>
  <si>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</si>
  <si>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</si>
  <si>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</si>
  <si>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</si>
  <si>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</si>
  <si>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</si>
  <si>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</si>
  <si>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</si>
  <si>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</si>
  <si>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</si>
  <si>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</si>
  <si>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</si>
  <si>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</si>
  <si>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</si>
  <si>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</si>
  <si>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</si>
  <si>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</si>
  <si>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</si>
  <si>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</si>
  <si>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</si>
  <si>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</si>
  <si>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</si>
  <si>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</si>
  <si>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</si>
  <si>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</si>
  <si>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</si>
  <si>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</si>
  <si>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</si>
  <si>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</si>
  <si>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</si>
  <si>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</si>
  <si>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</si>
  <si>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</si>
  <si>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</si>
  <si>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</si>
  <si>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</si>
  <si>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</si>
  <si>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</si>
  <si>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</si>
  <si>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</si>
  <si>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</si>
  <si>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</si>
  <si>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</si>
  <si>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</si>
  <si>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</si>
  <si>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</si>
  <si>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</si>
  <si>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</si>
  <si>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</si>
  <si>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</si>
  <si>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</si>
  <si>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</si>
  <si>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</si>
  <si>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</si>
  <si>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</si>
  <si>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</si>
  <si>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</si>
  <si>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</si>
  <si>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</si>
  <si>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</si>
  <si>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</si>
  <si>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</si>
  <si>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</si>
  <si>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</si>
  <si>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</si>
  <si>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</si>
  <si>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</si>
  <si>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</si>
  <si>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</si>
  <si>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</si>
  <si>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</si>
  <si>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</si>
  <si>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</si>
  <si>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</si>
  <si>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</si>
  <si>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</si>
  <si>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</si>
  <si>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</si>
  <si>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</si>
  <si>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</si>
  <si>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</si>
  <si>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</si>
  <si>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</si>
  <si>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</si>
  <si>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</si>
  <si>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</si>
  <si>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</si>
  <si>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</si>
  <si>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</si>
  <si>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</si>
  <si>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</si>
  <si>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</si>
  <si>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</si>
  <si>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</si>
  <si>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</si>
  <si>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</si>
  <si>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</si>
  <si>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</si>
  <si>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</si>
  <si>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</si>
  <si>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</si>
  <si>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</si>
  <si>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</si>
  <si>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</si>
  <si>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</si>
  <si>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</si>
  <si>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</si>
  <si>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</si>
  <si>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</si>
  <si>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</si>
  <si>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</si>
  <si>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</si>
  <si>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</si>
  <si>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</si>
  <si>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</si>
  <si>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</si>
  <si>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</si>
  <si>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</si>
  <si>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</si>
  <si>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</si>
  <si>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</si>
  <si>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</si>
  <si>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</si>
  <si>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</si>
  <si>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</si>
  <si>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</si>
  <si>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</si>
  <si>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</si>
  <si>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</si>
  <si>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</si>
  <si>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</si>
  <si>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</si>
  <si>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</si>
  <si>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</si>
  <si>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</si>
  <si>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</si>
  <si>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</si>
  <si>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</si>
  <si>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</si>
  <si>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</si>
  <si>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</si>
  <si>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</si>
  <si>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</si>
  <si>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</si>
  <si>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</si>
  <si>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</si>
  <si>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</si>
  <si>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</si>
  <si>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</si>
  <si>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</si>
  <si>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</si>
  <si>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</si>
  <si>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</si>
  <si>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</si>
  <si>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</si>
  <si>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</si>
  <si>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</si>
  <si>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</si>
  <si>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</si>
  <si>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</si>
  <si>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</si>
  <si>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</si>
  <si>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</si>
  <si>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</si>
  <si>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</si>
  <si>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</si>
  <si>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</si>
  <si>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</si>
  <si>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</si>
  <si>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</si>
  <si>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</si>
  <si>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</si>
  <si>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</si>
  <si>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</si>
  <si>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</si>
  <si>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</si>
  <si>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</si>
  <si>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</si>
  <si>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</si>
  <si>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</si>
  <si>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</si>
  <si>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</si>
  <si>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</si>
  <si>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</si>
  <si>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</si>
  <si>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</si>
  <si>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</si>
  <si>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</si>
  <si>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</si>
  <si>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</si>
  <si>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</si>
  <si>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</si>
  <si>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</si>
  <si>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</si>
  <si>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</si>
  <si>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</si>
  <si>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</si>
  <si>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</si>
  <si>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</si>
  <si>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</si>
  <si>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</si>
  <si>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</si>
  <si>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</si>
  <si>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</si>
  <si>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</si>
  <si>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</si>
  <si>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</si>
  <si>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</si>
  <si>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</si>
  <si>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</si>
  <si>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</si>
  <si>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</si>
  <si>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</si>
  <si>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</si>
  <si>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</si>
  <si>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</si>
  <si>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</si>
  <si>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</si>
  <si>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</si>
  <si>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</si>
  <si>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</si>
  <si>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</si>
  <si>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</si>
  <si>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</si>
  <si>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</si>
  <si>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</si>
  <si>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</si>
  <si>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</si>
  <si>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</si>
  <si>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</si>
  <si>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</si>
  <si>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</si>
  <si>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</si>
  <si>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</si>
  <si>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</si>
  <si>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</si>
  <si>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</si>
  <si>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</si>
  <si>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</si>
  <si>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</si>
  <si>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</si>
  <si>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</si>
  <si>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</si>
  <si>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</si>
  <si>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</si>
  <si>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</si>
  <si>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</si>
  <si>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</si>
  <si>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</si>
  <si>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</si>
  <si>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</si>
  <si>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</si>
  <si>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</si>
  <si>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</si>
  <si>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</si>
  <si>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</si>
  <si>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</si>
  <si>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</si>
  <si>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</si>
  <si>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</si>
  <si>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</si>
  <si>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</si>
  <si>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</si>
  <si>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</si>
  <si>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</si>
  <si>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</si>
  <si>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</si>
  <si>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</si>
  <si>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</si>
  <si>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</si>
  <si>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</si>
  <si>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</si>
  <si>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</si>
  <si>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</si>
  <si>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</si>
  <si>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</si>
  <si>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</si>
  <si>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</si>
  <si>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</si>
  <si>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</si>
  <si>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</si>
  <si>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</si>
  <si>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</si>
  <si>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</si>
  <si>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</si>
  <si>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</si>
  <si>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</si>
  <si>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</si>
  <si>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</si>
  <si>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</si>
  <si>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</si>
  <si>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</si>
  <si>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</si>
  <si>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</si>
  <si>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</si>
  <si>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</si>
  <si>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</si>
  <si>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</si>
  <si>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</si>
  <si>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</si>
  <si>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</si>
  <si>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</si>
  <si>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</si>
  <si>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</si>
  <si>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</si>
  <si>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</si>
  <si>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</si>
  <si>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</si>
  <si>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</si>
  <si>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</si>
  <si>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</si>
  <si>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</si>
  <si>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</si>
  <si>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</si>
  <si>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</si>
  <si>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</si>
  <si>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</si>
  <si>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</si>
  <si>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</si>
  <si>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</si>
  <si>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</si>
  <si>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</si>
  <si>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</si>
  <si>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</si>
  <si>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</si>
  <si>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</si>
  <si>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</si>
  <si>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</si>
  <si>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</si>
  <si>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</si>
  <si>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</si>
  <si>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</si>
  <si>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</si>
  <si>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</si>
  <si>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</si>
  <si>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</si>
  <si>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</si>
  <si>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</si>
  <si>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</si>
  <si>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</si>
  <si>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</si>
  <si>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</si>
  <si>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</si>
  <si>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</si>
  <si>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</si>
  <si>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</si>
  <si>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</si>
  <si>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</si>
  <si>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</si>
  <si>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</si>
  <si>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</si>
  <si>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</si>
  <si>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</si>
  <si>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</si>
  <si>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</si>
  <si>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</si>
  <si>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</si>
  <si>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</si>
  <si>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</si>
  <si>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</si>
  <si>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</si>
  <si>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</si>
  <si>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</si>
  <si>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</si>
  <si>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</si>
  <si>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</si>
  <si>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</si>
  <si>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</si>
  <si>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</si>
  <si>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</si>
  <si>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</si>
  <si>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</si>
  <si>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</si>
  <si>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</si>
  <si>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</si>
  <si>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</si>
  <si>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</si>
  <si>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</si>
  <si>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</si>
  <si>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</si>
  <si>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</si>
  <si>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</si>
  <si>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</si>
  <si>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</si>
  <si>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</si>
  <si>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</si>
  <si>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</si>
  <si>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</si>
  <si>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</si>
  <si>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</si>
  <si>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</si>
  <si>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</si>
  <si>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</si>
  <si>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</si>
  <si>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</si>
  <si>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</si>
  <si>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</si>
  <si>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</si>
  <si>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</si>
  <si>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</si>
  <si>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</si>
  <si>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</si>
  <si>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</si>
  <si>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</si>
  <si>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</si>
  <si>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</si>
  <si>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</si>
  <si>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</si>
  <si>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</si>
  <si>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</si>
  <si>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</si>
  <si>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</si>
  <si>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</si>
  <si>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</si>
  <si>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</si>
  <si>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</si>
  <si>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</si>
  <si>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</si>
  <si>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</si>
  <si>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</si>
  <si>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</si>
  <si>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</si>
  <si>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</si>
  <si>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</si>
  <si>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</si>
  <si>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</si>
  <si>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</si>
  <si>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</si>
  <si>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</si>
  <si>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</si>
  <si>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</si>
  <si>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</si>
  <si>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</si>
  <si>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</si>
  <si>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</si>
  <si>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</si>
  <si>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</si>
  <si>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</si>
  <si>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</si>
  <si>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</si>
  <si>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</si>
  <si>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</si>
  <si>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</si>
  <si>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</si>
  <si>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</si>
  <si>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</si>
  <si>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</si>
  <si>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</si>
  <si>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</si>
  <si>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</si>
  <si>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</si>
  <si>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</si>
  <si>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</si>
  <si>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</si>
  <si>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</si>
  <si>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</si>
  <si>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</si>
  <si>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</si>
  <si>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</si>
  <si>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</si>
  <si>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</si>
  <si>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</si>
  <si>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</si>
  <si>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</si>
  <si>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</si>
  <si>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</si>
  <si>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</si>
  <si>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</si>
  <si>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</si>
  <si>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</si>
  <si>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</si>
  <si>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</si>
  <si>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</si>
  <si>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</si>
  <si>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</si>
  <si>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</si>
  <si>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</si>
  <si>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</si>
  <si>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</si>
  <si>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</si>
  <si>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</si>
  <si>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</si>
  <si>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</si>
  <si>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</si>
  <si>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</si>
  <si>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</si>
  <si>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</si>
  <si>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</si>
  <si>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</si>
  <si>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</si>
  <si>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</si>
  <si>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</si>
  <si>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</si>
  <si>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</si>
  <si>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</si>
  <si>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</si>
  <si>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</si>
  <si>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</si>
  <si>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</si>
  <si>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</si>
  <si>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</si>
  <si>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</si>
  <si>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</si>
  <si>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</si>
  <si>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</si>
  <si>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</si>
  <si>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</si>
  <si>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</si>
  <si>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</si>
  <si>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</si>
  <si>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</si>
  <si>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</si>
  <si>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</si>
  <si>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</si>
  <si>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</si>
  <si>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</si>
  <si>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</si>
  <si>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</si>
  <si>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</si>
  <si>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</si>
  <si>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</si>
  <si>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</si>
  <si>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</si>
  <si>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</si>
  <si>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</si>
  <si>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</si>
  <si>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</si>
  <si>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</si>
  <si>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</si>
  <si>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</si>
  <si>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</si>
  <si>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</si>
  <si>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</si>
  <si>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</si>
  <si>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</si>
  <si>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</si>
  <si>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</si>
  <si>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</si>
  <si>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</si>
  <si>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</si>
  <si>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</si>
  <si>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</si>
  <si>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</si>
  <si>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</si>
  <si>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</si>
  <si>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</si>
  <si>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</si>
  <si>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</si>
  <si>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</si>
  <si>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</si>
  <si>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</si>
  <si>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</si>
  <si>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</si>
  <si>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</si>
  <si>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</si>
  <si>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</si>
  <si>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</si>
  <si>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</si>
  <si>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</si>
  <si>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</si>
  <si>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</si>
  <si>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</si>
  <si>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</si>
  <si>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</si>
  <si>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</si>
  <si>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</si>
  <si>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</si>
  <si>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</si>
  <si>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</si>
  <si>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</si>
  <si>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</si>
  <si>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</si>
  <si>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</si>
  <si>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</si>
  <si>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</si>
  <si>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</si>
  <si>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</si>
  <si>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</si>
  <si>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</si>
  <si>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</si>
  <si>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</si>
  <si>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</si>
  <si>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</si>
  <si>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</si>
  <si>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</si>
  <si>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</si>
  <si>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</si>
  <si>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</si>
  <si>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</si>
  <si>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</si>
  <si>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</si>
  <si>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</si>
  <si>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</si>
  <si>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</si>
  <si>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</si>
  <si>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</si>
  <si>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</si>
  <si>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</si>
  <si>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</si>
  <si>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</si>
  <si>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</si>
  <si>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</si>
  <si>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</si>
  <si>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</si>
  <si>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</si>
  <si>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</si>
  <si>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</si>
  <si>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</si>
  <si>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</si>
  <si>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</si>
  <si>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</si>
  <si>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</si>
  <si>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</si>
  <si>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</si>
  <si>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</si>
  <si>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</si>
  <si>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</si>
  <si>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</si>
  <si>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</si>
  <si>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</si>
  <si>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</si>
  <si>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</si>
  <si>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</si>
  <si>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</si>
  <si>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</si>
  <si>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</si>
  <si>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</si>
  <si>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</si>
  <si>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</si>
  <si>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</si>
  <si>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</si>
  <si>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</si>
  <si>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</si>
  <si>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</si>
  <si>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</si>
  <si>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</si>
  <si>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</si>
  <si>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</si>
  <si>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</si>
  <si>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</si>
  <si>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</si>
  <si>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</si>
  <si>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</si>
  <si>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</si>
  <si>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</si>
  <si>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</si>
  <si>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</si>
  <si>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</si>
  <si>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</si>
  <si>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</si>
  <si>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</si>
  <si>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</si>
  <si>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</si>
  <si>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</si>
  <si>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</si>
  <si>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</si>
  <si>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</si>
  <si>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</si>
  <si>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</si>
  <si>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</si>
  <si>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</si>
  <si>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</si>
  <si>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</si>
  <si>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</si>
  <si>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</si>
  <si>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</si>
  <si>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</si>
  <si>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</si>
  <si>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</si>
  <si>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</si>
  <si>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</si>
  <si>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</si>
  <si>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</si>
  <si>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</si>
  <si>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</si>
  <si>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</si>
  <si>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</si>
  <si>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</si>
  <si>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</si>
  <si>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</si>
  <si>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</si>
  <si>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</si>
  <si>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</si>
  <si>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</si>
  <si>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</si>
  <si>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</si>
  <si>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</si>
  <si>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</si>
  <si>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</si>
  <si>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</si>
  <si>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</si>
  <si>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</si>
  <si>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</si>
  <si>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</si>
  <si>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</si>
  <si>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</si>
  <si>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</si>
  <si>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</si>
  <si>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</si>
  <si>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</si>
  <si>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</si>
  <si>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</si>
  <si>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</si>
  <si>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</si>
  <si>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</si>
  <si>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</si>
  <si>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</si>
  <si>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</si>
  <si>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</si>
  <si>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</si>
  <si>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</si>
  <si>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</si>
  <si>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</si>
  <si>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</si>
  <si>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</si>
  <si>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</si>
  <si>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</si>
  <si>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</si>
  <si>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</si>
  <si>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</si>
  <si>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</si>
  <si>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</si>
  <si>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</si>
  <si>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</si>
  <si>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</si>
  <si>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</si>
  <si>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</si>
  <si>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</si>
  <si>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</si>
  <si>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</si>
  <si>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</si>
  <si>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</si>
  <si>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</si>
  <si>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</si>
  <si>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</si>
  <si>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</si>
  <si>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</si>
  <si>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</si>
  <si>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</si>
  <si>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</si>
  <si>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</si>
  <si>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</si>
  <si>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</si>
  <si>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</si>
  <si>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</si>
  <si>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</si>
  <si>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</si>
  <si>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</si>
  <si>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</si>
  <si>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</si>
  <si>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</si>
  <si>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</si>
  <si>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</si>
  <si>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</si>
  <si>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</si>
  <si>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</si>
  <si>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</si>
  <si>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</si>
  <si>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</si>
  <si>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</si>
  <si>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</si>
  <si>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</si>
  <si>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</si>
  <si>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</si>
  <si>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</si>
  <si>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</si>
  <si>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</si>
  <si>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</si>
  <si>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</si>
  <si>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</si>
  <si>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</si>
  <si>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</si>
  <si>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</si>
  <si>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</si>
  <si>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</si>
  <si>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</si>
  <si>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</si>
  <si>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</si>
  <si>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</si>
  <si>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</si>
  <si>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</si>
  <si>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</si>
  <si>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</si>
  <si>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</si>
  <si>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</si>
  <si>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</si>
  <si>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</si>
  <si>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</si>
  <si>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</si>
  <si>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</si>
  <si>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</si>
  <si>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</si>
  <si>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</si>
  <si>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</si>
  <si>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</si>
  <si>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</si>
  <si>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</si>
  <si>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</si>
  <si>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</si>
  <si>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</si>
  <si>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</si>
  <si>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</si>
  <si>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</si>
  <si>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</si>
  <si>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</si>
  <si>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</si>
  <si>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</si>
  <si>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</si>
  <si>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</si>
  <si>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</si>
  <si>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</si>
  <si>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</si>
  <si>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</si>
  <si>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</si>
  <si>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</si>
  <si>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</si>
  <si>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</si>
  <si>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</si>
  <si>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</si>
  <si>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</si>
  <si>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</si>
  <si>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</si>
  <si>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</si>
  <si>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</si>
  <si>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</si>
  <si>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</si>
  <si>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</si>
  <si>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</si>
  <si>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</si>
  <si>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</si>
  <si>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</si>
  <si>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</si>
  <si>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</si>
  <si>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</si>
  <si>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</si>
  <si>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</si>
  <si>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</si>
  <si>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</si>
  <si>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</si>
  <si>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</si>
  <si>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</si>
  <si>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</si>
  <si>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</si>
  <si>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</si>
  <si>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</si>
  <si>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</si>
  <si>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</si>
  <si>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</si>
  <si>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</si>
  <si>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</si>
  <si>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</si>
  <si>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</si>
  <si>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</si>
  <si>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</si>
  <si>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</si>
  <si>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</si>
  <si>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</si>
  <si>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</si>
  <si>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</si>
  <si>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</si>
  <si>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</si>
  <si>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</si>
  <si>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</si>
  <si>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</si>
  <si>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</si>
  <si>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</si>
  <si>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</si>
  <si>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</si>
  <si>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</si>
  <si>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</si>
  <si>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</si>
  <si>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</si>
  <si>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</si>
  <si>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</si>
  <si>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</si>
  <si>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</si>
  <si>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</si>
  <si>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</si>
  <si>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</si>
  <si>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</si>
  <si>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</si>
  <si>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</si>
  <si>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</si>
  <si>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</si>
  <si>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</si>
  <si>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</si>
  <si>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</si>
  <si>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</si>
  <si>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</si>
  <si>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</si>
  <si>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</si>
  <si>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</si>
  <si>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</si>
  <si>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</si>
  <si>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</si>
  <si>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</si>
  <si>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</si>
  <si>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</si>
  <si>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</si>
  <si>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</si>
  <si>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</si>
  <si>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</si>
  <si>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</si>
  <si>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</si>
  <si>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</si>
  <si>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</si>
  <si>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</si>
  <si>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</si>
  <si>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</si>
  <si>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</si>
  <si>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</si>
  <si>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</si>
  <si>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</si>
  <si>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</si>
  <si>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</si>
  <si>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</si>
  <si>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</si>
  <si>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</si>
  <si>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</si>
  <si>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</si>
  <si>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</si>
  <si>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</si>
  <si>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</si>
  <si>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</si>
  <si>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</si>
  <si>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</si>
  <si>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</si>
  <si>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</si>
  <si>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</si>
  <si>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</si>
  <si>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</si>
  <si>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</si>
  <si>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</si>
  <si>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</si>
  <si>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</si>
  <si>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</si>
  <si>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</si>
  <si>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</si>
  <si>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</si>
  <si>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</si>
  <si>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</si>
  <si>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</si>
  <si>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</si>
  <si>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</si>
  <si>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</si>
  <si>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</si>
  <si>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</si>
  <si>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</si>
  <si>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</si>
  <si>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</si>
  <si>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</si>
  <si>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</si>
  <si>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</si>
  <si>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</si>
  <si>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</si>
  <si>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</si>
  <si>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</si>
  <si>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</si>
  <si>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</si>
  <si>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</si>
  <si>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</si>
  <si>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</si>
  <si>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</si>
  <si>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</si>
  <si>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</si>
  <si>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</si>
  <si>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</si>
  <si>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</si>
  <si>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</si>
  <si>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</si>
  <si>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</si>
  <si>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</si>
  <si>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</si>
  <si>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</si>
  <si>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</si>
  <si>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</si>
  <si>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</si>
  <si>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</si>
  <si>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</si>
  <si>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</si>
  <si>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</si>
  <si>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</si>
  <si>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</si>
  <si>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</si>
  <si>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</si>
  <si>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</si>
  <si>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</si>
  <si>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</si>
  <si>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</si>
  <si>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</si>
  <si>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</si>
  <si>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</si>
  <si>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</si>
  <si>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</si>
  <si>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</si>
  <si>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</si>
  <si>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</si>
  <si>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</si>
  <si>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</si>
  <si>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</si>
  <si>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</si>
  <si>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</si>
  <si>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</si>
  <si>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</si>
  <si>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</si>
  <si>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</si>
  <si>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</si>
  <si>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</si>
  <si>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</si>
  <si>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</si>
  <si>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</si>
  <si>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</si>
  <si>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</si>
  <si>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</si>
  <si>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</si>
  <si>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</si>
  <si>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</si>
  <si>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</si>
  <si>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</si>
  <si>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</si>
  <si>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</si>
  <si>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</si>
  <si>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</si>
  <si>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</si>
  <si>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</si>
  <si>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</si>
  <si>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</si>
  <si>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</si>
  <si>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</si>
  <si>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</si>
  <si>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</si>
  <si>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</si>
  <si>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</si>
  <si>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</si>
  <si>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</si>
  <si>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</si>
  <si>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</si>
  <si>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</si>
  <si>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</si>
  <si>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</si>
  <si>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</si>
  <si>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</si>
  <si>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</si>
  <si>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</si>
  <si>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</si>
  <si>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</si>
  <si>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</si>
  <si>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</si>
  <si>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</si>
  <si>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</si>
  <si>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</si>
  <si>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</si>
  <si>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</si>
  <si>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</si>
  <si>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</si>
  <si>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</si>
  <si>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</si>
  <si>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</si>
  <si>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</si>
  <si>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</si>
  <si>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</si>
  <si>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</si>
  <si>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</si>
  <si>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</si>
  <si>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</si>
  <si>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</si>
  <si>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</si>
  <si>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</si>
  <si>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</si>
  <si>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</si>
  <si>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</si>
  <si>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</si>
  <si>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</si>
  <si>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</si>
  <si>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</si>
  <si>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</si>
  <si>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</si>
  <si>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</si>
  <si>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</si>
  <si>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</si>
  <si>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</si>
  <si>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</si>
  <si>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</si>
  <si>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</si>
  <si>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</si>
  <si>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</si>
  <si>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</si>
  <si>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</si>
  <si>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</si>
  <si>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</si>
  <si>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</si>
  <si>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</si>
  <si>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</si>
  <si>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</si>
  <si>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</si>
  <si>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</si>
  <si>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</si>
  <si>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</si>
  <si>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</si>
  <si>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</si>
  <si>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</si>
  <si>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</si>
  <si>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</si>
  <si>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</si>
  <si>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</si>
  <si>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</si>
  <si>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</si>
  <si>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</si>
  <si>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</si>
  <si>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</si>
  <si>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</si>
  <si>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</si>
  <si>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</si>
  <si>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</si>
  <si>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</si>
  <si>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</si>
  <si>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</si>
  <si>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</si>
  <si>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</si>
  <si>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</si>
  <si>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</si>
  <si>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</si>
  <si>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</si>
  <si>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</si>
  <si>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</si>
  <si>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</si>
  <si>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</si>
  <si>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</si>
  <si>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</si>
  <si>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</si>
  <si>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</si>
  <si>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</si>
  <si>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</si>
  <si>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</si>
  <si>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</si>
  <si>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</si>
  <si>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</si>
  <si>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</si>
  <si>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</si>
  <si>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</si>
  <si>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</si>
  <si>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</si>
  <si>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</si>
  <si>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</si>
  <si>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</si>
  <si>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</si>
  <si>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</si>
  <si>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</si>
  <si>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</si>
  <si>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</si>
  <si>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</si>
  <si>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</si>
  <si>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</si>
  <si>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</si>
  <si>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</si>
  <si>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</si>
  <si>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</si>
  <si>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</si>
  <si>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</si>
  <si>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</si>
  <si>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</si>
  <si>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</si>
  <si>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</si>
  <si>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</si>
  <si>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</si>
  <si>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</si>
  <si>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</si>
  <si>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</si>
  <si>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</si>
  <si>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</si>
  <si>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</si>
  <si>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</si>
  <si>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</si>
  <si>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</si>
  <si>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</si>
  <si>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</si>
  <si>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</si>
  <si>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</si>
  <si>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</si>
  <si>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</si>
  <si>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</si>
  <si>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</si>
  <si>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</si>
  <si>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</si>
  <si>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</si>
  <si>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</si>
  <si>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</si>
  <si>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</si>
  <si>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</si>
  <si>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</si>
  <si>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</si>
  <si>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</si>
  <si>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</si>
  <si>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</si>
  <si>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</si>
  <si>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</si>
  <si>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</si>
  <si>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</si>
  <si>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</si>
  <si>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</si>
  <si>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</si>
  <si>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</si>
  <si>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</si>
  <si>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</si>
  <si>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</si>
  <si>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</si>
  <si>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</si>
  <si>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</si>
  <si>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</si>
  <si>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</si>
  <si>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</si>
  <si>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</si>
  <si>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</si>
  <si>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</si>
  <si>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</si>
  <si>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</si>
  <si>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</si>
  <si>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</si>
  <si>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</si>
  <si>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</si>
  <si>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</si>
  <si>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</si>
  <si>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</si>
  <si>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</si>
  <si>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</si>
  <si>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</si>
  <si>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</si>
  <si>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</si>
  <si>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</si>
  <si>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</si>
  <si>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</si>
  <si>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</si>
  <si>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</si>
  <si>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</si>
  <si>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</si>
  <si>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</si>
  <si>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</si>
  <si>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</si>
  <si>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</si>
  <si>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</si>
  <si>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</si>
  <si>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</si>
  <si>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</si>
  <si>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</si>
  <si>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</si>
  <si>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</si>
  <si>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</si>
  <si>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</si>
  <si>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</si>
  <si>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</si>
  <si>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</si>
  <si>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</si>
  <si>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</si>
  <si>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</si>
  <si>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</si>
  <si>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</si>
  <si>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</si>
  <si>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</si>
  <si>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</si>
  <si>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</si>
  <si>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</si>
  <si>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</si>
  <si>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</si>
  <si>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</si>
  <si>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</si>
  <si>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</si>
  <si>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</si>
  <si>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</si>
  <si>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</si>
  <si>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</si>
  <si>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</si>
  <si>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</si>
  <si>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</si>
  <si>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</si>
  <si>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</si>
  <si>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</si>
  <si>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</si>
  <si>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</si>
  <si>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</si>
  <si>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</si>
  <si>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</si>
  <si>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</si>
  <si>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</si>
  <si>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</si>
  <si>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</si>
  <si>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</si>
  <si>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</si>
  <si>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</si>
  <si>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</si>
  <si>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</si>
  <si>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</si>
  <si>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</si>
  <si>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</si>
  <si>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</si>
  <si>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</si>
  <si>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</si>
  <si>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</si>
  <si>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</si>
  <si>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</si>
  <si>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</si>
  <si>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</si>
  <si>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</si>
  <si>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</si>
  <si>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</si>
  <si>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</si>
  <si>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</si>
  <si>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</si>
  <si>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</si>
  <si>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</si>
  <si>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</si>
  <si>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</si>
  <si>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</si>
  <si>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</si>
  <si>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</si>
  <si>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</si>
  <si>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</si>
  <si>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</si>
  <si>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</si>
  <si>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</si>
  <si>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</si>
  <si>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</si>
  <si>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</si>
  <si>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</si>
  <si>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</si>
  <si>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</si>
  <si>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</si>
  <si>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</si>
  <si>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</si>
  <si>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</si>
  <si>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</si>
  <si>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</si>
  <si>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</si>
  <si>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</si>
  <si>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</si>
  <si>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</si>
  <si>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</si>
  <si>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</si>
  <si>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</si>
  <si>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</si>
  <si>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</si>
  <si>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</si>
  <si>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</si>
  <si>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</si>
  <si>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</si>
  <si>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</si>
  <si>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</si>
  <si>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</si>
  <si>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</si>
  <si>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</si>
  <si>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</si>
  <si>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</si>
  <si>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</si>
  <si>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</si>
  <si>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</si>
  <si>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</si>
  <si>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</si>
  <si>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</si>
  <si>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</si>
  <si>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</si>
  <si>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</si>
  <si>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</si>
  <si>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</si>
  <si>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</si>
  <si>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</si>
  <si>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</si>
  <si>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</si>
  <si>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</si>
  <si>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</si>
  <si>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</si>
  <si>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</si>
  <si>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</si>
  <si>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</si>
  <si>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</si>
  <si>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</si>
  <si>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</si>
  <si>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</si>
  <si>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</si>
  <si>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</si>
  <si>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</si>
  <si>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</si>
  <si>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</si>
  <si>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</si>
  <si>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</si>
  <si>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</si>
  <si>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</si>
  <si>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</si>
  <si>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</si>
  <si>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</si>
  <si>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</si>
  <si>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</si>
  <si>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</si>
  <si>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</si>
  <si>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</si>
  <si>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</si>
  <si>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</si>
  <si>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</si>
  <si>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</si>
  <si>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</si>
  <si>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</si>
  <si>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</si>
  <si>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</si>
  <si>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</si>
  <si>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</si>
  <si>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</si>
  <si>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</si>
  <si>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</si>
  <si>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</si>
  <si>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</si>
  <si>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</si>
  <si>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</si>
  <si>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</si>
  <si>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</si>
  <si>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</si>
  <si>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</si>
  <si>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</si>
  <si>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</si>
  <si>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</si>
  <si>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</si>
  <si>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</si>
  <si>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</si>
  <si>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</si>
  <si>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</si>
  <si>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</si>
  <si>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</si>
  <si>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</si>
  <si>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</si>
  <si>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</si>
  <si>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</si>
  <si>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</si>
  <si>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</si>
  <si>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</si>
  <si>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</si>
  <si>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</si>
  <si>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</si>
  <si>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</si>
  <si>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</si>
  <si>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</si>
  <si>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</si>
  <si>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</si>
  <si>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</si>
  <si>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</si>
  <si>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</si>
  <si>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</si>
  <si>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</si>
  <si>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</si>
  <si>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</si>
  <si>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</si>
  <si>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</si>
  <si>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</si>
  <si>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</si>
  <si>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</si>
  <si>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</si>
  <si>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</si>
  <si>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</si>
  <si>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</si>
  <si>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</si>
  <si>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</si>
  <si>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</si>
  <si>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</si>
  <si>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</si>
  <si>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</si>
  <si>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</si>
  <si>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</si>
  <si>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</si>
  <si>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</si>
  <si>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</si>
  <si>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</si>
  <si>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</si>
  <si>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</si>
  <si>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</si>
  <si>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</si>
  <si>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</si>
  <si>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</si>
  <si>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</si>
  <si>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</si>
  <si>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</si>
  <si>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NORTHUMBERLAND SD</t>
  </si>
  <si>
    <t>9/10</t>
  </si>
  <si>
    <t>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</si>
</sst>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5"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407</v>
      </c>
      <c r="C2" s="21">
        <v>407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81976.47+150037.87</f>
        <v>232014.34</v>
      </c>
      <c r="G9" s="18"/>
      <c r="H9" s="18"/>
      <c r="I9" s="18"/>
      <c r="J9" s="67">
        <f>SUM(I440)</f>
        <v>345757.25</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10944.81+121973.99</f>
        <v>132918.80000000002</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8229.7900000000009</v>
      </c>
      <c r="G14" s="18">
        <v>10944.81</v>
      </c>
      <c r="H14" s="18">
        <v>121973.99</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373162.93</v>
      </c>
      <c r="G19" s="41">
        <f>SUM(G9:G18)</f>
        <v>10944.81</v>
      </c>
      <c r="H19" s="41">
        <f>SUM(H9:H18)</f>
        <v>121973.99</v>
      </c>
      <c r="I19" s="41">
        <f>SUM(I9:I18)</f>
        <v>0</v>
      </c>
      <c r="J19" s="41">
        <f>SUM(J9:J18)</f>
        <v>345757.25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10944.81</v>
      </c>
      <c r="H22" s="18">
        <v>121973.99</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f>3509.43+341.12</f>
        <v>3850.5499999999997</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3850.5499999999997</v>
      </c>
      <c r="G32" s="41">
        <f>SUM(G22:G31)</f>
        <v>10944.81</v>
      </c>
      <c r="H32" s="41">
        <f>SUM(H22:H31)</f>
        <v>121973.99</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345757.25</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20000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349312.38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369312.38</v>
      </c>
      <c r="G51" s="41">
        <f>SUM(G35:G50)</f>
        <v>0</v>
      </c>
      <c r="H51" s="41">
        <f>SUM(H35:H50)</f>
        <v>0</v>
      </c>
      <c r="I51" s="41">
        <f>SUM(I35:I50)</f>
        <v>0</v>
      </c>
      <c r="J51" s="41">
        <f>SUM(J35:J50)</f>
        <v>345757.25</v>
      </c>
      <c r="K51" s="45" t="s">
        <v>288</v>
      </c>
      <c r="L51" s="45" t="s">
        <v>288</v>
      </c>
      <c r="N51" s="264"/>
    </row>
    <row r="52" spans="1:14" s="3" customFormat="1" ht="12.2" customHeight="1" thickTop="1" x14ac:dyDescent="0.15">
      <c r="A52" s="38" t="s">
        <v>455</v>
      </c>
      <c r="B52" s="39" t="s">
        <v>289</v>
      </c>
      <c r="C52" s="6">
        <v>37</v>
      </c>
      <c r="D52" s="39" t="s">
        <v>653</v>
      </c>
      <c r="E52" s="39"/>
      <c r="F52" s="41">
        <f>F51+F32</f>
        <v>373162.93</v>
      </c>
      <c r="G52" s="41">
        <f>G51+G32</f>
        <v>10944.81</v>
      </c>
      <c r="H52" s="41">
        <f>H51+H32</f>
        <v>121973.99</v>
      </c>
      <c r="I52" s="41">
        <f>I51+I32</f>
        <v>0</v>
      </c>
      <c r="J52" s="41">
        <f>J51+J32</f>
        <v>345757.25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1472345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1472345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775040.5</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v>199578.61</v>
      </c>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974619.11</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2858.59</v>
      </c>
      <c r="G96" s="18"/>
      <c r="H96" s="18"/>
      <c r="I96" s="18"/>
      <c r="J96" s="18">
        <v>5260.23</v>
      </c>
      <c r="K96" s="24" t="s">
        <v>288</v>
      </c>
      <c r="L96" s="24" t="s">
        <v>288</v>
      </c>
      <c r="M96" s="8"/>
      <c r="N96" s="266"/>
    </row>
    <row r="97" spans="1:14" s="3" customFormat="1" ht="12.2" customHeight="1" x14ac:dyDescent="0.15">
      <c r="A97" s="1" t="s">
        <v>503</v>
      </c>
      <c r="B97" s="2" t="s">
        <v>315</v>
      </c>
      <c r="C97" s="6">
        <v>12</v>
      </c>
      <c r="D97" s="2" t="s">
        <v>430</v>
      </c>
      <c r="E97" s="6">
        <v>1600</v>
      </c>
      <c r="F97" s="24" t="s">
        <v>288</v>
      </c>
      <c r="G97" s="18">
        <v>32329.1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10000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5299.09</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18157.68</v>
      </c>
      <c r="G111" s="41">
        <f>SUM(G96:G110)</f>
        <v>32329.1</v>
      </c>
      <c r="H111" s="41">
        <f>SUM(H96:H110)</f>
        <v>0</v>
      </c>
      <c r="I111" s="41">
        <f>SUM(I96:I110)</f>
        <v>0</v>
      </c>
      <c r="J111" s="41">
        <f>SUM(J96:J110)</f>
        <v>5260.23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2465121.79</v>
      </c>
      <c r="G112" s="41">
        <f>G60+G111</f>
        <v>32329.1</v>
      </c>
      <c r="H112" s="41">
        <f>H60+H79+H94+H111</f>
        <v>0</v>
      </c>
      <c r="I112" s="41">
        <f>I60+I111</f>
        <v>0</v>
      </c>
      <c r="J112" s="41">
        <f>J60+J111</f>
        <v>5260.23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2649213.66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176008</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2195.12</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2827416.7800000003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9000</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6695.4</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1843.97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15695.4</v>
      </c>
      <c r="G136" s="41">
        <f>SUM(G123:G135)</f>
        <v>1843.97</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2843112.18</v>
      </c>
      <c r="G140" s="41">
        <f>G121+SUM(G136:G137)</f>
        <v>1843.97</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160239.37</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114480.58</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16669.830000000002</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156621.53+4773.83</f>
        <v>161395.35999999999</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110649.97</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31550.81</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60067.76</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31550.81</v>
      </c>
      <c r="G163" s="41">
        <f>SUM(G150:G162)</f>
        <v>161395.35999999999</v>
      </c>
      <c r="H163" s="41">
        <f>SUM(H150:H162)</f>
        <v>462107.51</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872.86</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32423.670000000002</v>
      </c>
      <c r="G170" s="41">
        <f>G147+G163+SUM(G164:G169)</f>
        <v>161395.35999999999</v>
      </c>
      <c r="H170" s="41">
        <f>H147+H163+SUM(H164:H169)</f>
        <v>462107.51</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v>1138.77</v>
      </c>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1138.77</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18064.650000000001</v>
      </c>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18064.650000000001</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1138.77</v>
      </c>
      <c r="G193" s="41">
        <f>G184+SUM(G189:G192)</f>
        <v>18064.650000000001</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5341796.41</v>
      </c>
      <c r="G194" s="47">
        <f>G112+G140+G170+G193</f>
        <v>213633.08</v>
      </c>
      <c r="H194" s="47">
        <f>H112+H140+H170+H193</f>
        <v>462107.51</v>
      </c>
      <c r="I194" s="47">
        <f>I112+I140+I170+I193</f>
        <v>0</v>
      </c>
      <c r="J194" s="47">
        <f>J112+J140+J193</f>
        <v>5260.23</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455588.55+262177.6+459.9+478.37+16491.97+6559.85+27784.47+3107.5+8032.5+3090</f>
        <v>783770.70999999985</v>
      </c>
      <c r="G198" s="18">
        <f>58062.52+61165.98+1676.9+1407.26+371.33+467.37+38192.99+20408.14+272.28+77988.79+46100.73+2899.13+5191.87+4911.05+6197.94-47.37-21.33+850.81+488.93</f>
        <v>326585.31999999995</v>
      </c>
      <c r="H198" s="18">
        <f>389+5874.25+1661.46+381.11+258.5+83.47</f>
        <v>8647.7899999999991</v>
      </c>
      <c r="I198" s="18">
        <f>-23.99+7248.96+2674.16+45.59+272+3700+920+576.76+478.03+780.45+391.43+901.27+320.29+46.9+566.54+687.77+734.69+578.71+662.48+260.54+759.23+699.65+139.39+248.28+498.52+311.05+165.28+100.81+198.9+25183.75+128.91+298.98+127.54+328.94+749.34+5472.99+98+5190.67+2415.79+246.45+341</f>
        <v>65526.05</v>
      </c>
      <c r="J198" s="18">
        <f>281.56+5859+3580+3282.86+2450+727.94+98.88+437.97</f>
        <v>16718.210000000003</v>
      </c>
      <c r="K198" s="18">
        <f>75+225</f>
        <v>300</v>
      </c>
      <c r="L198" s="19">
        <f>SUM(F198:K198)</f>
        <v>1201548.0799999998</v>
      </c>
      <c r="M198" s="8"/>
      <c r="N198" s="266"/>
    </row>
    <row r="199" spans="1:14" s="3" customFormat="1" ht="12.2" customHeight="1" x14ac:dyDescent="0.15">
      <c r="A199" s="1" t="s">
        <v>439</v>
      </c>
      <c r="B199" s="2" t="s">
        <v>341</v>
      </c>
      <c r="C199" s="2" t="s">
        <v>291</v>
      </c>
      <c r="D199" s="2" t="s">
        <v>431</v>
      </c>
      <c r="E199" s="6">
        <v>1200</v>
      </c>
      <c r="F199" s="18">
        <f>105841+88198.64+95657.15+93463.66+6720+4677+4573.37+9700+2155</f>
        <v>410985.82000000007</v>
      </c>
      <c r="G199" s="18">
        <f>20358+9904+618.48+390.72+17716.26+14224.58+19523.17+11342.47+99+2147.52+32.87+431.33+358.51</f>
        <v>97146.909999999989</v>
      </c>
      <c r="H199" s="18">
        <f>25518+75+19886.79+28025.18+51252.6</f>
        <v>124757.57</v>
      </c>
      <c r="I199" s="18">
        <f>643.53+194.41+371.19+312.98+151.86+129.5</f>
        <v>1803.4699999999998</v>
      </c>
      <c r="J199" s="18">
        <f>275</f>
        <v>275</v>
      </c>
      <c r="K199" s="18"/>
      <c r="L199" s="19">
        <f>SUM(F199:K199)</f>
        <v>634968.77</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f>11170+6779.64+273.6</f>
        <v>18223.239999999998</v>
      </c>
      <c r="G201" s="18">
        <f>852.56+516.53+307.18+42.45+400.5+960.58+18.58+18.58+20.93+48.7</f>
        <v>3186.5899999999997</v>
      </c>
      <c r="H201" s="18">
        <f>3785+2207</f>
        <v>5992</v>
      </c>
      <c r="I201" s="18">
        <f>378.46+117.48</f>
        <v>495.94</v>
      </c>
      <c r="J201" s="18"/>
      <c r="K201" s="18">
        <f>790+350</f>
        <v>1140</v>
      </c>
      <c r="L201" s="19">
        <f>SUM(F201:K201)</f>
        <v>29037.769999999997</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50080.03+13541.6+10207.08+5460+3000+433+406.23+833.65-555.96-127.07+21529.62+8762.38+12317.89+2610.92+721.32+15422.34+10688.72</f>
        <v>155331.74999999997</v>
      </c>
      <c r="G203" s="18">
        <f>9826.73+260.34+133.07+4290.05+1694.92+1140.15+8914.17+2410.45+1036.95-28.48+68.12+41.24+229.5+33.13+8.69+6.28+25.47+61.85-20.55+116.95-36.44-8.33-31.69-7.24+158.38+43.76+5155.12+734.83+5642.33+1559.78-125.7-35+54.17-7.03+3109.37+1885.57+116.56+65.52+1285.54+803.49+3040.42+1902.84+351.37+47.91-99.94-25.98-46.41-4.76</f>
        <v>55777.469999999994</v>
      </c>
      <c r="H203" s="18">
        <f>2882.11+228.85+621.73+36434.49+14989.45+171+101+228+165+200+44</f>
        <v>56065.630000000005</v>
      </c>
      <c r="I203" s="18">
        <f>215.34+162.39+297.61+328.28+369.4+226.9+262.3+133+108.25</f>
        <v>2103.4700000000003</v>
      </c>
      <c r="J203" s="18">
        <f>169+84.24</f>
        <v>253.24</v>
      </c>
      <c r="K203" s="18">
        <f>179</f>
        <v>179</v>
      </c>
      <c r="L203" s="19">
        <f t="shared" ref="L203:L209" si="0">SUM(F203:K203)</f>
        <v>269710.55999999994</v>
      </c>
      <c r="M203" s="8"/>
      <c r="N203" s="266"/>
    </row>
    <row r="204" spans="1:14" s="3" customFormat="1" ht="12.2" customHeight="1" x14ac:dyDescent="0.15">
      <c r="A204" s="1" t="s">
        <v>443</v>
      </c>
      <c r="B204" s="2" t="s">
        <v>341</v>
      </c>
      <c r="C204" s="2" t="s">
        <v>295</v>
      </c>
      <c r="D204" s="2" t="s">
        <v>431</v>
      </c>
      <c r="E204" s="6">
        <v>2200</v>
      </c>
      <c r="F204" s="18">
        <f>29822.81+9762.92+5757.62</f>
        <v>45343.350000000006</v>
      </c>
      <c r="G204" s="18">
        <f>4715.13+170.48+2253.91+5308.61+56.1+4.46+1571.35+926.66+44.67+26.4+734.66+433.13+1090.64+643.15-16.43-9.69+4.82+2.88</f>
        <v>17960.93</v>
      </c>
      <c r="H204" s="18">
        <f>1784+257.52+174.82</f>
        <v>2216.34</v>
      </c>
      <c r="I204" s="18">
        <f>257.38+295.41+99.09+972.02+370.8+309.27</f>
        <v>2303.9700000000003</v>
      </c>
      <c r="J204" s="18"/>
      <c r="K204" s="18"/>
      <c r="L204" s="19">
        <f t="shared" si="0"/>
        <v>67824.590000000011</v>
      </c>
      <c r="M204" s="8"/>
      <c r="N204" s="266"/>
    </row>
    <row r="205" spans="1:14" s="3" customFormat="1" ht="12.2" customHeight="1" x14ac:dyDescent="0.15">
      <c r="A205" s="1" t="s">
        <v>444</v>
      </c>
      <c r="B205" s="2" t="s">
        <v>341</v>
      </c>
      <c r="C205" s="2" t="s">
        <v>296</v>
      </c>
      <c r="D205" s="2" t="s">
        <v>431</v>
      </c>
      <c r="E205" s="6">
        <v>2300</v>
      </c>
      <c r="F205" s="18">
        <v>2939</v>
      </c>
      <c r="G205" s="18">
        <v>294.45</v>
      </c>
      <c r="H205" s="18">
        <v>247396.19</v>
      </c>
      <c r="I205" s="18"/>
      <c r="J205" s="18"/>
      <c r="K205" s="18">
        <v>3097.5</v>
      </c>
      <c r="L205" s="19">
        <f t="shared" si="0"/>
        <v>253727.14</v>
      </c>
      <c r="M205" s="8"/>
      <c r="N205" s="266"/>
    </row>
    <row r="206" spans="1:14" s="3" customFormat="1" ht="12.2" customHeight="1" x14ac:dyDescent="0.15">
      <c r="A206" s="1" t="s">
        <v>445</v>
      </c>
      <c r="B206" s="2" t="s">
        <v>341</v>
      </c>
      <c r="C206" s="2" t="s">
        <v>297</v>
      </c>
      <c r="D206" s="2" t="s">
        <v>431</v>
      </c>
      <c r="E206" s="6">
        <v>2400</v>
      </c>
      <c r="F206" s="18">
        <f>71094+28533.65+2625+18999.99+37175.7+14581.25+6000+326.84+980+18074.84+10659.65+9242.69+5450.8</f>
        <v>223744.40999999997</v>
      </c>
      <c r="G206" s="18">
        <f>11004+12954.8+593.57+339.03+8942.69+4693.56+4152.53+1628.74+13121.99+8461.01+1772.55+2000+1526.29+187.62+115.91+7765.79+4579.82+154.22+90.9+2008.31+1184.37+1072.22+632.24+3177.59+1874.02+1145.39+675.48-46.76-27.58+5.41+3.88</f>
        <v>95789.589999999967</v>
      </c>
      <c r="H206" s="18">
        <f>230+23.4+1199.3+300+536.59+1000+157.76+266.8+164.58+82.29+275+313.9+1157.33+212.29</f>
        <v>5919.24</v>
      </c>
      <c r="I206" s="18">
        <f>1182.73+235.14+502.6+17695.09+8856.9+450+300+430+200</f>
        <v>29852.46</v>
      </c>
      <c r="J206" s="18">
        <f>450+227+1716+976.99</f>
        <v>3369.99</v>
      </c>
      <c r="K206" s="18">
        <f>931.88+1434.32+1830.94+1188.09</f>
        <v>5385.23</v>
      </c>
      <c r="L206" s="19">
        <f t="shared" si="0"/>
        <v>364060.91999999993</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f>41088.71+30700.73+3058.03+1230.6+6862.94+4047.36+2511.23+916.61+362.35+340.34</f>
        <v>91118.900000000009</v>
      </c>
      <c r="G208" s="18">
        <f>11681.31+4181.49+413.51+167.03+4056.31+2824.8+4462.56+3487.33+2749.22+500+338.45+241.49</f>
        <v>35103.5</v>
      </c>
      <c r="H208" s="18">
        <f>5465.5+2356.97+4890+1974.77+26594.67+14709.98+5019.85+3391.8+1050.18+1310.37+46.6+1725.3</f>
        <v>68535.990000000005</v>
      </c>
      <c r="I208" s="18">
        <f>7956.02+7304.82+16257.2+11948.05+1054.08+218.58+15589.87+18183.91</f>
        <v>78512.53</v>
      </c>
      <c r="J208" s="18">
        <f>12148.28+9555</f>
        <v>21703.279999999999</v>
      </c>
      <c r="K208" s="18"/>
      <c r="L208" s="19">
        <f t="shared" si="0"/>
        <v>294974.20000000007</v>
      </c>
      <c r="M208" s="8"/>
      <c r="N208" s="266"/>
    </row>
    <row r="209" spans="1:14" s="3" customFormat="1" ht="12.2" customHeight="1" x14ac:dyDescent="0.15">
      <c r="A209" s="1" t="s">
        <v>448</v>
      </c>
      <c r="B209" s="2" t="s">
        <v>341</v>
      </c>
      <c r="C209" s="2" t="s">
        <v>300</v>
      </c>
      <c r="D209" s="2" t="s">
        <v>431</v>
      </c>
      <c r="E209" s="6">
        <v>2700</v>
      </c>
      <c r="F209" s="18"/>
      <c r="G209" s="18"/>
      <c r="H209" s="18">
        <f>37635.75+25839.93+4503.38+9126+3189.1+4291.95-184.5+2864.5</f>
        <v>87266.11</v>
      </c>
      <c r="I209" s="18"/>
      <c r="J209" s="18"/>
      <c r="K209" s="18"/>
      <c r="L209" s="19">
        <f t="shared" si="0"/>
        <v>87266.11</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1731457.1799999997</v>
      </c>
      <c r="G212" s="41">
        <f t="shared" si="1"/>
        <v>631844.75999999989</v>
      </c>
      <c r="H212" s="41">
        <f t="shared" si="1"/>
        <v>606796.86</v>
      </c>
      <c r="I212" s="41">
        <f t="shared" si="1"/>
        <v>180597.89</v>
      </c>
      <c r="J212" s="41">
        <f t="shared" si="1"/>
        <v>42319.72</v>
      </c>
      <c r="K212" s="41">
        <f t="shared" si="1"/>
        <v>10101.73</v>
      </c>
      <c r="L212" s="41">
        <f t="shared" si="1"/>
        <v>3203118.1399999997</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f>674608.82+3749.23+11182.88+560.07+14875.56+6710</f>
        <v>711686.55999999994</v>
      </c>
      <c r="G234" s="18">
        <f>89664.66+3585.52+748.8+53982.79+1.66+119564.04+470.25+7874.17-37.09+1138.76+84</f>
        <v>277077.56</v>
      </c>
      <c r="H234" s="18">
        <f>152+2875.6+105.13+482.05+537.51+255+150</f>
        <v>4557.29</v>
      </c>
      <c r="I234" s="18">
        <f>3001.73+3700+523.4+528.82+850.15+273.6+200.9+300+487.7+446.21+2122.78+3000+159.8+448.93+2783.09+327+104.84+65+42.06+48+1165.05+229.87</f>
        <v>20808.93</v>
      </c>
      <c r="J234" s="18">
        <f>440.4+7557.25+3080.14+190.68+898.59+1020.28+3.03</f>
        <v>13190.37</v>
      </c>
      <c r="K234" s="18">
        <f>205+900+139+100+130+200</f>
        <v>1674</v>
      </c>
      <c r="L234" s="19">
        <f>SUM(F234:K234)</f>
        <v>1028994.71</v>
      </c>
      <c r="M234" s="8"/>
      <c r="N234" s="266"/>
    </row>
    <row r="235" spans="1:14" s="3" customFormat="1" ht="12.2" customHeight="1" x14ac:dyDescent="0.15">
      <c r="A235" s="1" t="s">
        <v>439</v>
      </c>
      <c r="B235" s="2" t="s">
        <v>350</v>
      </c>
      <c r="C235" s="2" t="s">
        <v>291</v>
      </c>
      <c r="D235" s="2" t="s">
        <v>431</v>
      </c>
      <c r="E235" s="6">
        <v>1200</v>
      </c>
      <c r="F235" s="18">
        <f>46274+22355.47+815</f>
        <v>69444.47</v>
      </c>
      <c r="G235" s="18">
        <f>11004+248.28+5236.03+8236.79+386.79+944.09+85.45</f>
        <v>26141.430000000004</v>
      </c>
      <c r="H235" s="18">
        <f>-4993.69+77886.91</f>
        <v>72893.22</v>
      </c>
      <c r="I235" s="18">
        <f>237.9+960.6</f>
        <v>1198.5</v>
      </c>
      <c r="J235" s="18"/>
      <c r="K235" s="18"/>
      <c r="L235" s="19">
        <f>SUM(F235:K235)</f>
        <v>169677.62</v>
      </c>
      <c r="M235" s="8"/>
      <c r="N235" s="266"/>
    </row>
    <row r="236" spans="1:14" s="3" customFormat="1" ht="12.2" customHeight="1" x14ac:dyDescent="0.15">
      <c r="A236" s="1" t="s">
        <v>440</v>
      </c>
      <c r="B236" s="2" t="s">
        <v>350</v>
      </c>
      <c r="C236" s="2" t="s">
        <v>292</v>
      </c>
      <c r="D236" s="2" t="s">
        <v>431</v>
      </c>
      <c r="E236" s="6">
        <v>1300</v>
      </c>
      <c r="F236" s="18"/>
      <c r="G236" s="18"/>
      <c r="H236" s="18">
        <f>20605.8</f>
        <v>20605.8</v>
      </c>
      <c r="I236" s="18"/>
      <c r="J236" s="18"/>
      <c r="K236" s="18"/>
      <c r="L236" s="19">
        <f>SUM(F236:K236)</f>
        <v>20605.8</v>
      </c>
      <c r="M236" s="8"/>
      <c r="N236" s="266"/>
    </row>
    <row r="237" spans="1:14" s="3" customFormat="1" ht="12.2" customHeight="1" x14ac:dyDescent="0.15">
      <c r="A237" s="1" t="s">
        <v>441</v>
      </c>
      <c r="B237" s="2" t="s">
        <v>350</v>
      </c>
      <c r="C237" s="2" t="s">
        <v>293</v>
      </c>
      <c r="D237" s="2" t="s">
        <v>431</v>
      </c>
      <c r="E237" s="6">
        <v>1400</v>
      </c>
      <c r="F237" s="18">
        <f>31751.36-378.6</f>
        <v>31372.760000000002</v>
      </c>
      <c r="G237" s="18">
        <f>2413.37+404.37+3338.77+74.3+34.15+79.46</f>
        <v>6344.42</v>
      </c>
      <c r="H237" s="18">
        <f>9724+46.13</f>
        <v>9770.1299999999992</v>
      </c>
      <c r="I237" s="18">
        <f>6760.81+2765+404.99</f>
        <v>9930.8000000000011</v>
      </c>
      <c r="J237" s="18"/>
      <c r="K237" s="18"/>
      <c r="L237" s="19">
        <f>SUM(F237:K237)</f>
        <v>57418.11</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f>22094.3+16653.96+667+310.26-227.67+929.08+74.3+574</f>
        <v>41075.230000000003</v>
      </c>
      <c r="G239" s="18">
        <f>16033.27+216.85+2765.88+1860.2+3932.77+1688.41+69.47+51.02+4.28+21.36+15.23-14.92-12.98+4.64+79.29+165.36-5.99-2.61+108.54+4.13+42.17+102.1-3.97-1.96</f>
        <v>27122.54</v>
      </c>
      <c r="H239" s="18">
        <f>498.99+1012.9+23445.06+167+71+20</f>
        <v>25214.95</v>
      </c>
      <c r="I239" s="18">
        <f>298.68+354.6+165.17+133+120.98</f>
        <v>1072.4299999999998</v>
      </c>
      <c r="J239" s="18">
        <f>84.24</f>
        <v>84.24</v>
      </c>
      <c r="K239" s="18">
        <f>1172.3</f>
        <v>1172.3</v>
      </c>
      <c r="L239" s="19">
        <f t="shared" ref="L239:L245" si="4">SUM(F239:K239)</f>
        <v>95741.69</v>
      </c>
      <c r="M239" s="8"/>
      <c r="N239" s="266"/>
    </row>
    <row r="240" spans="1:14" s="3" customFormat="1" ht="12.2" customHeight="1" x14ac:dyDescent="0.15">
      <c r="A240" s="1" t="s">
        <v>443</v>
      </c>
      <c r="B240" s="2" t="s">
        <v>350</v>
      </c>
      <c r="C240" s="2" t="s">
        <v>295</v>
      </c>
      <c r="D240" s="2" t="s">
        <v>431</v>
      </c>
      <c r="E240" s="6">
        <v>2200</v>
      </c>
      <c r="F240" s="18">
        <f>4976.19+9512.59</f>
        <v>14488.779999999999</v>
      </c>
      <c r="G240" s="18">
        <f>786.87+28.36+376.19+885.72+4.46+1531.2+43.66+715.48+1062.43-16.01+4.42</f>
        <v>5422.7800000000007</v>
      </c>
      <c r="H240" s="18">
        <f>1813.35+1345.24</f>
        <v>3158.59</v>
      </c>
      <c r="I240" s="18">
        <f>197.68+745.15+177</f>
        <v>1119.83</v>
      </c>
      <c r="J240" s="18"/>
      <c r="K240" s="18"/>
      <c r="L240" s="19">
        <f t="shared" si="4"/>
        <v>24189.979999999996</v>
      </c>
      <c r="M240" s="8"/>
      <c r="N240" s="266"/>
    </row>
    <row r="241" spans="1:14" s="3" customFormat="1" ht="12.2" customHeight="1" x14ac:dyDescent="0.15">
      <c r="A241" s="1" t="s">
        <v>444</v>
      </c>
      <c r="B241" s="2" t="s">
        <v>350</v>
      </c>
      <c r="C241" s="2" t="s">
        <v>296</v>
      </c>
      <c r="D241" s="2" t="s">
        <v>431</v>
      </c>
      <c r="E241" s="6">
        <v>2300</v>
      </c>
      <c r="F241" s="18">
        <v>1801</v>
      </c>
      <c r="G241" s="18">
        <v>181</v>
      </c>
      <c r="H241" s="18">
        <v>151630</v>
      </c>
      <c r="I241" s="18"/>
      <c r="J241" s="18"/>
      <c r="K241" s="18">
        <v>1898</v>
      </c>
      <c r="L241" s="19">
        <f t="shared" si="4"/>
        <v>155510</v>
      </c>
      <c r="M241" s="8"/>
      <c r="N241" s="266"/>
    </row>
    <row r="242" spans="1:14" s="3" customFormat="1" ht="12.2" customHeight="1" x14ac:dyDescent="0.15">
      <c r="A242" s="1" t="s">
        <v>445</v>
      </c>
      <c r="B242" s="2" t="s">
        <v>350</v>
      </c>
      <c r="C242" s="2" t="s">
        <v>297</v>
      </c>
      <c r="D242" s="2" t="s">
        <v>431</v>
      </c>
      <c r="E242" s="6">
        <v>2400</v>
      </c>
      <c r="F242" s="18">
        <f>46457.49+31000.01+23787.51+533.24+315+17611.37+9005.9</f>
        <v>128710.51999999999</v>
      </c>
      <c r="G242" s="18">
        <f>21136.84+553.26+7674.44+2657.02+13787.4+2772.45+2445.66+192.82+7566.57+150.51+1956.29+1044.92+3095.91+1116.01-45.57+7.56</f>
        <v>66112.089999999982</v>
      </c>
      <c r="H242" s="18">
        <f>91.6+450+1612.74+267.14+164.62+292.75+322.69</f>
        <v>3201.54</v>
      </c>
      <c r="I242" s="18">
        <f>730.53+11557+219.54+220</f>
        <v>12727.070000000002</v>
      </c>
      <c r="J242" s="18">
        <f>227.97+1000</f>
        <v>1227.97</v>
      </c>
      <c r="K242" s="18">
        <f>418.8+1660.04</f>
        <v>2078.84</v>
      </c>
      <c r="L242" s="19">
        <f t="shared" si="4"/>
        <v>214058.03</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f>45289.33+1924.83+6686.93+2100.9+559.66</f>
        <v>56561.650000000009</v>
      </c>
      <c r="G244" s="18">
        <f>5722.2+245.66+4294.66+5152.88+760+389.72</f>
        <v>16565.120000000003</v>
      </c>
      <c r="H244" s="18">
        <f>2458.22+2915.23+23510.66+5155.53+1540.92+118.88+1057</f>
        <v>36756.439999999995</v>
      </c>
      <c r="I244" s="18">
        <f>11540.64+20482.37+328.49+29651.59</f>
        <v>62003.09</v>
      </c>
      <c r="J244" s="18">
        <f>13758.39+15182.16</f>
        <v>28940.55</v>
      </c>
      <c r="K244" s="18"/>
      <c r="L244" s="19">
        <f t="shared" si="4"/>
        <v>200826.85</v>
      </c>
      <c r="M244" s="8"/>
      <c r="N244" s="266"/>
    </row>
    <row r="245" spans="1:14" s="3" customFormat="1" ht="12.2" customHeight="1" x14ac:dyDescent="0.15">
      <c r="A245" s="1" t="s">
        <v>448</v>
      </c>
      <c r="B245" s="2" t="s">
        <v>350</v>
      </c>
      <c r="C245" s="2" t="s">
        <v>300</v>
      </c>
      <c r="D245" s="2" t="s">
        <v>431</v>
      </c>
      <c r="E245" s="6">
        <v>2700</v>
      </c>
      <c r="F245" s="18"/>
      <c r="G245" s="18"/>
      <c r="H245" s="18">
        <f>68815.32+10472.3+851.87</f>
        <v>80139.490000000005</v>
      </c>
      <c r="I245" s="18"/>
      <c r="J245" s="18"/>
      <c r="K245" s="18"/>
      <c r="L245" s="19">
        <f t="shared" si="4"/>
        <v>80139.490000000005</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1055140.97</v>
      </c>
      <c r="G248" s="41">
        <f t="shared" si="5"/>
        <v>424966.93999999994</v>
      </c>
      <c r="H248" s="41">
        <f t="shared" si="5"/>
        <v>407927.44999999995</v>
      </c>
      <c r="I248" s="41">
        <f t="shared" si="5"/>
        <v>108860.65</v>
      </c>
      <c r="J248" s="41">
        <f t="shared" si="5"/>
        <v>43443.13</v>
      </c>
      <c r="K248" s="41">
        <f t="shared" si="5"/>
        <v>6823.14</v>
      </c>
      <c r="L248" s="41">
        <f t="shared" si="5"/>
        <v>2047162.2800000003</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74877</v>
      </c>
      <c r="I256" s="18"/>
      <c r="J256" s="18"/>
      <c r="K256" s="18"/>
      <c r="L256" s="19">
        <f t="shared" si="6"/>
        <v>74877</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74877</v>
      </c>
      <c r="I257" s="41">
        <f t="shared" si="7"/>
        <v>0</v>
      </c>
      <c r="J257" s="41">
        <f t="shared" si="7"/>
        <v>0</v>
      </c>
      <c r="K257" s="41">
        <f t="shared" si="7"/>
        <v>0</v>
      </c>
      <c r="L257" s="41">
        <f>SUM(F257:K257)</f>
        <v>74877</v>
      </c>
      <c r="M257" s="8"/>
      <c r="N257" s="266"/>
    </row>
    <row r="258" spans="1:14" s="3" customFormat="1" ht="12.2" customHeight="1" thickTop="1" x14ac:dyDescent="0.15">
      <c r="A258" s="38" t="s">
        <v>462</v>
      </c>
      <c r="B258" s="40">
        <v>10</v>
      </c>
      <c r="C258" s="40">
        <v>8</v>
      </c>
      <c r="D258" s="39" t="s">
        <v>431</v>
      </c>
      <c r="E258" s="40"/>
      <c r="F258" s="41">
        <f t="shared" ref="F258:L258" si="8">F212+F230+F248+F257</f>
        <v>2786598.1499999994</v>
      </c>
      <c r="G258" s="41">
        <f t="shared" si="8"/>
        <v>1056811.6999999997</v>
      </c>
      <c r="H258" s="41">
        <f t="shared" si="8"/>
        <v>1089601.31</v>
      </c>
      <c r="I258" s="41">
        <f t="shared" si="8"/>
        <v>289458.54000000004</v>
      </c>
      <c r="J258" s="41">
        <f t="shared" si="8"/>
        <v>85762.85</v>
      </c>
      <c r="K258" s="41">
        <f t="shared" si="8"/>
        <v>16924.87</v>
      </c>
      <c r="L258" s="41">
        <f t="shared" si="8"/>
        <v>5325157.42</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15000</v>
      </c>
      <c r="L261" s="19">
        <f>SUM(F261:K261)</f>
        <v>15000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1212.75</v>
      </c>
      <c r="L262" s="19">
        <f>SUM(F262:K262)</f>
        <v>1212.75</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18064.650000000001</v>
      </c>
      <c r="L264" s="19">
        <f>SUM(F264:K264)</f>
        <v>18064.650000000001</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23980</v>
      </c>
      <c r="L269" s="19">
        <f t="shared" si="9"/>
        <v>23980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58257.4</v>
      </c>
      <c r="L271" s="41">
        <f t="shared" si="9"/>
        <v>58257.4</v>
      </c>
      <c r="M271" s="8"/>
      <c r="N271" s="266"/>
    </row>
    <row r="272" spans="1:14" s="34" customFormat="1" ht="12.2" customHeight="1" thickTop="1" x14ac:dyDescent="0.2">
      <c r="A272" s="43" t="s">
        <v>464</v>
      </c>
      <c r="B272" s="40">
        <v>10</v>
      </c>
      <c r="C272" s="40">
        <v>18</v>
      </c>
      <c r="D272" s="39" t="s">
        <v>431</v>
      </c>
      <c r="E272" s="40"/>
      <c r="F272" s="42">
        <f t="shared" ref="F272:L272" si="11">F258+F271</f>
        <v>2786598.1499999994</v>
      </c>
      <c r="G272" s="42">
        <f t="shared" si="11"/>
        <v>1056811.6999999997</v>
      </c>
      <c r="H272" s="42">
        <f t="shared" si="11"/>
        <v>1089601.31</v>
      </c>
      <c r="I272" s="42">
        <f t="shared" si="11"/>
        <v>289458.54000000004</v>
      </c>
      <c r="J272" s="42">
        <f t="shared" si="11"/>
        <v>85762.85</v>
      </c>
      <c r="K272" s="42">
        <f t="shared" si="11"/>
        <v>75182.27</v>
      </c>
      <c r="L272" s="42">
        <f t="shared" si="11"/>
        <v>5383414.8200000003</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f>3000+557.62+692.73+1129+1241.31+953+1890+773+1277+1500</f>
        <v>13013.66</v>
      </c>
      <c r="J277" s="18">
        <f>3246.5+694.67</f>
        <v>3941.17</v>
      </c>
      <c r="K277" s="18">
        <f>2000+1252+988+2027.86</f>
        <v>6267.86</v>
      </c>
      <c r="L277" s="19">
        <f>SUM(F277:K277)</f>
        <v>23222.690000000002</v>
      </c>
      <c r="M277" s="8"/>
      <c r="N277" s="266"/>
    </row>
    <row r="278" spans="1:14" s="3" customFormat="1" ht="12.2" customHeight="1" x14ac:dyDescent="0.15">
      <c r="A278" s="1" t="s">
        <v>439</v>
      </c>
      <c r="B278" s="2" t="s">
        <v>357</v>
      </c>
      <c r="C278" s="2" t="s">
        <v>291</v>
      </c>
      <c r="D278" s="2" t="s">
        <v>431</v>
      </c>
      <c r="E278" s="6">
        <v>1200</v>
      </c>
      <c r="F278" s="18"/>
      <c r="G278" s="18"/>
      <c r="H278" s="18"/>
      <c r="I278" s="18">
        <f>2500.72</f>
        <v>2500.7199999999998</v>
      </c>
      <c r="J278" s="18"/>
      <c r="K278" s="18"/>
      <c r="L278" s="19">
        <f>SUM(F278:K278)</f>
        <v>2500.7199999999998</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f>16900+9780+8400+6225</f>
        <v>41305</v>
      </c>
      <c r="G280" s="18">
        <f>2040.56+3008.2+1105.63+1108.05</f>
        <v>7262.4400000000005</v>
      </c>
      <c r="H280" s="18">
        <f>90</f>
        <v>90</v>
      </c>
      <c r="I280" s="18">
        <f>5997.42+1710.88+609.61+418.47+378.64+366.65+1789.41</f>
        <v>11271.079999999998</v>
      </c>
      <c r="J280" s="18">
        <f>410.64</f>
        <v>410.64</v>
      </c>
      <c r="K280" s="18"/>
      <c r="L280" s="19">
        <f>SUM(F280:K280)</f>
        <v>60339.16</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f>55758+13977.67+27490.72+0.92+17915.9-0.76+3345.79+10010.52+1496.19+3039.22</f>
        <v>133034.16999999998</v>
      </c>
      <c r="G282" s="18">
        <f>267.76+5330.27+9123.93+119.83+78.15+2085.49+0.12+1359.03-0.1+4514.82+0.16+2942.29-0.08+385.15+1343.06+172.24+348.85+2.87+33.83+1.29+8.79+255.76+771.46+114.37+229.4+595.11+1782.63+266.12+540.98</f>
        <v>32673.58</v>
      </c>
      <c r="H282" s="18"/>
      <c r="I282" s="18">
        <f>2353.03+1743.77+49+608.91</f>
        <v>4754.71</v>
      </c>
      <c r="J282" s="18">
        <f>5885</f>
        <v>5885</v>
      </c>
      <c r="K282" s="18"/>
      <c r="L282" s="19">
        <f t="shared" ref="L282:L288" si="12">SUM(F282:K282)</f>
        <v>176347.46</v>
      </c>
      <c r="M282" s="8"/>
      <c r="N282" s="266"/>
    </row>
    <row r="283" spans="1:14" s="3" customFormat="1" ht="12.2" customHeight="1" x14ac:dyDescent="0.15">
      <c r="A283" s="1" t="s">
        <v>443</v>
      </c>
      <c r="B283" s="2" t="s">
        <v>357</v>
      </c>
      <c r="C283" s="2" t="s">
        <v>295</v>
      </c>
      <c r="D283" s="2" t="s">
        <v>431</v>
      </c>
      <c r="E283" s="6">
        <v>2200</v>
      </c>
      <c r="F283" s="18"/>
      <c r="G283" s="18"/>
      <c r="H283" s="18"/>
      <c r="I283" s="18">
        <f>3187.13+350</f>
        <v>3537.13</v>
      </c>
      <c r="J283" s="18"/>
      <c r="K283" s="18"/>
      <c r="L283" s="19">
        <f t="shared" si="12"/>
        <v>3537.13</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f>4500</f>
        <v>4500</v>
      </c>
      <c r="G285" s="18">
        <f>343.93+801</f>
        <v>1144.93</v>
      </c>
      <c r="H285" s="18"/>
      <c r="I285" s="18">
        <f>1826.27+6050</f>
        <v>7876.27</v>
      </c>
      <c r="J285" s="18"/>
      <c r="K285" s="18"/>
      <c r="L285" s="19">
        <f t="shared" si="12"/>
        <v>13521.2</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178839.16999999998</v>
      </c>
      <c r="G291" s="42">
        <f t="shared" si="13"/>
        <v>41080.950000000004</v>
      </c>
      <c r="H291" s="42">
        <f t="shared" si="13"/>
        <v>90</v>
      </c>
      <c r="I291" s="42">
        <f t="shared" si="13"/>
        <v>42953.569999999992</v>
      </c>
      <c r="J291" s="42">
        <f t="shared" si="13"/>
        <v>10236.810000000001</v>
      </c>
      <c r="K291" s="42">
        <f t="shared" si="13"/>
        <v>6267.86</v>
      </c>
      <c r="L291" s="41">
        <f t="shared" si="13"/>
        <v>279468.36000000004</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f>2830+1800+11061.6+1500+21755+8900</f>
        <v>47846.6</v>
      </c>
      <c r="G315" s="18">
        <f>216.44+134.78+2815.19+114.75+1664.34+22.12+22.33+80.66+284.8</f>
        <v>5355.41</v>
      </c>
      <c r="H315" s="18">
        <f>1000+1675</f>
        <v>2675</v>
      </c>
      <c r="I315" s="18">
        <f>704.44+2658+5459.14+3303.32+1056.57+1942.43+4938.29</f>
        <v>20062.189999999999</v>
      </c>
      <c r="J315" s="18">
        <f>1111.08+18851.22+1424.19</f>
        <v>21386.49</v>
      </c>
      <c r="K315" s="18">
        <f>375+1264</f>
        <v>1639</v>
      </c>
      <c r="L315" s="19">
        <f>SUM(F315:K315)</f>
        <v>98964.69</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f>17383.31+20219.47-0.16</f>
        <v>37602.619999999995</v>
      </c>
      <c r="G320" s="18">
        <f>1329.83+88.06+1533.89-0.02+3320.66-0.08+128.74+403.6+14.82+52.32+0.11+1.32+9.84+30.83+22.9+71.86</f>
        <v>7008.6799999999985</v>
      </c>
      <c r="H320" s="18"/>
      <c r="I320" s="18"/>
      <c r="J320" s="18"/>
      <c r="K320" s="18"/>
      <c r="L320" s="19">
        <f t="shared" ref="L320:L326" si="16">SUM(F320:K320)</f>
        <v>44611.299999999996</v>
      </c>
      <c r="M320" s="8"/>
      <c r="N320" s="266"/>
    </row>
    <row r="321" spans="1:14" s="3" customFormat="1" ht="12.2" customHeight="1" x14ac:dyDescent="0.15">
      <c r="A321" s="1" t="s">
        <v>443</v>
      </c>
      <c r="B321" s="2" t="s">
        <v>359</v>
      </c>
      <c r="C321" s="2" t="s">
        <v>295</v>
      </c>
      <c r="D321" s="2" t="s">
        <v>431</v>
      </c>
      <c r="E321" s="6">
        <v>2200</v>
      </c>
      <c r="F321" s="18">
        <f>1900+2250+3750</f>
        <v>7900</v>
      </c>
      <c r="G321" s="18">
        <f>144.07+169.33+249.2+400.5+3775+6620+282.73+667.5</f>
        <v>12308.33</v>
      </c>
      <c r="H321" s="18"/>
      <c r="I321" s="18">
        <f>100+385+600</f>
        <v>1085</v>
      </c>
      <c r="J321" s="18">
        <f>1100</f>
        <v>1100</v>
      </c>
      <c r="K321" s="18"/>
      <c r="L321" s="19">
        <f t="shared" si="16"/>
        <v>22393.33</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93349.22</v>
      </c>
      <c r="G329" s="42">
        <f t="shared" si="17"/>
        <v>24672.42</v>
      </c>
      <c r="H329" s="42">
        <f t="shared" si="17"/>
        <v>2675</v>
      </c>
      <c r="I329" s="42">
        <f t="shared" si="17"/>
        <v>21147.19</v>
      </c>
      <c r="J329" s="42">
        <f t="shared" si="17"/>
        <v>22486.49</v>
      </c>
      <c r="K329" s="42">
        <f t="shared" si="17"/>
        <v>1639</v>
      </c>
      <c r="L329" s="41">
        <f t="shared" si="17"/>
        <v>165969.32</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f>2715+9922.5</f>
        <v>12637.5</v>
      </c>
      <c r="G334" s="18">
        <f>192.32+751.03+483.27+1766.25</f>
        <v>3192.87</v>
      </c>
      <c r="H334" s="18">
        <f>112.01</f>
        <v>112.01</v>
      </c>
      <c r="I334" s="18"/>
      <c r="J334" s="18">
        <f>700</f>
        <v>700</v>
      </c>
      <c r="K334" s="18">
        <f>27.45</f>
        <v>27.45</v>
      </c>
      <c r="L334" s="19">
        <f t="shared" si="18"/>
        <v>16669.829999999998</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12637.5</v>
      </c>
      <c r="G338" s="41">
        <f t="shared" si="19"/>
        <v>3192.87</v>
      </c>
      <c r="H338" s="41">
        <f t="shared" si="19"/>
        <v>112.01</v>
      </c>
      <c r="I338" s="41">
        <f t="shared" si="19"/>
        <v>0</v>
      </c>
      <c r="J338" s="41">
        <f t="shared" si="19"/>
        <v>700</v>
      </c>
      <c r="K338" s="41">
        <f t="shared" si="19"/>
        <v>27.45</v>
      </c>
      <c r="L338" s="41">
        <f t="shared" si="18"/>
        <v>16669.829999999998</v>
      </c>
      <c r="M338" s="8"/>
      <c r="N338" s="266"/>
    </row>
    <row r="339" spans="1:43" s="3" customFormat="1" ht="12.2" customHeight="1" thickTop="1" x14ac:dyDescent="0.15">
      <c r="A339" s="38" t="s">
        <v>468</v>
      </c>
      <c r="B339" s="40">
        <v>14</v>
      </c>
      <c r="C339" s="40">
        <v>7</v>
      </c>
      <c r="D339" s="39" t="s">
        <v>431</v>
      </c>
      <c r="E339" s="40"/>
      <c r="F339" s="41">
        <f t="shared" ref="F339:L339" si="20">F291+F310+F329+F338</f>
        <v>284825.89</v>
      </c>
      <c r="G339" s="41">
        <f t="shared" si="20"/>
        <v>68946.239999999991</v>
      </c>
      <c r="H339" s="41">
        <f t="shared" si="20"/>
        <v>2877.01</v>
      </c>
      <c r="I339" s="41">
        <f t="shared" si="20"/>
        <v>64100.759999999995</v>
      </c>
      <c r="J339" s="41">
        <f t="shared" si="20"/>
        <v>33423.300000000003</v>
      </c>
      <c r="K339" s="41">
        <f t="shared" si="20"/>
        <v>7934.3099999999995</v>
      </c>
      <c r="L339" s="41">
        <f t="shared" si="20"/>
        <v>462107.51000000007</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284825.89</v>
      </c>
      <c r="G353" s="41">
        <f>G339</f>
        <v>68946.239999999991</v>
      </c>
      <c r="H353" s="41">
        <f>H339</f>
        <v>2877.01</v>
      </c>
      <c r="I353" s="41">
        <f>I339</f>
        <v>64100.759999999995</v>
      </c>
      <c r="J353" s="41">
        <f>J339</f>
        <v>33423.300000000003</v>
      </c>
      <c r="K353" s="47">
        <f>K339+K352</f>
        <v>7934.3099999999995</v>
      </c>
      <c r="L353" s="41">
        <f>L339+L352</f>
        <v>462107.51000000007</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121024.28</v>
      </c>
      <c r="I359" s="18">
        <v>49.27</v>
      </c>
      <c r="J359" s="18">
        <v>11379.53</v>
      </c>
      <c r="K359" s="18"/>
      <c r="L359" s="13">
        <f>SUM(F359:K359)</f>
        <v>132453.08000000002</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v>74176</v>
      </c>
      <c r="I361" s="18">
        <v>30</v>
      </c>
      <c r="J361" s="18">
        <v>6974</v>
      </c>
      <c r="K361" s="18"/>
      <c r="L361" s="19">
        <f>SUM(F361:K361)</f>
        <v>81180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195200.28</v>
      </c>
      <c r="I363" s="47">
        <f t="shared" si="22"/>
        <v>79.27000000000001</v>
      </c>
      <c r="J363" s="47">
        <f t="shared" si="22"/>
        <v>18353.53</v>
      </c>
      <c r="K363" s="47">
        <f t="shared" si="22"/>
        <v>0</v>
      </c>
      <c r="L363" s="47">
        <f t="shared" si="22"/>
        <v>213633.08000000002</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49.27</v>
      </c>
      <c r="G369" s="63"/>
      <c r="H369" s="63">
        <v>30</v>
      </c>
      <c r="I369" s="56">
        <f>SUM(F369:H369)</f>
        <v>79.27000000000001</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49.27</v>
      </c>
      <c r="G370" s="47">
        <f>SUM(G368:G369)</f>
        <v>0</v>
      </c>
      <c r="H370" s="47">
        <f>SUM(H368:H369)</f>
        <v>30</v>
      </c>
      <c r="I370" s="47">
        <f>SUM(I368:I369)</f>
        <v>79.27000000000001</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2599.4</v>
      </c>
      <c r="I397" s="18"/>
      <c r="J397" s="24" t="s">
        <v>288</v>
      </c>
      <c r="K397" s="24" t="s">
        <v>288</v>
      </c>
      <c r="L397" s="56">
        <f t="shared" si="26"/>
        <v>2599.4</v>
      </c>
      <c r="M397" s="8"/>
      <c r="N397" s="266"/>
    </row>
    <row r="398" spans="1:14" s="3" customFormat="1" ht="12.2" customHeight="1" x14ac:dyDescent="0.15">
      <c r="A398" s="79" t="s">
        <v>515</v>
      </c>
      <c r="B398" s="2" t="s">
        <v>381</v>
      </c>
      <c r="C398" s="6">
        <v>10</v>
      </c>
      <c r="D398" s="2" t="s">
        <v>432</v>
      </c>
      <c r="E398" s="6"/>
      <c r="F398" s="18"/>
      <c r="G398" s="18"/>
      <c r="H398" s="18">
        <v>2660.83</v>
      </c>
      <c r="I398" s="18"/>
      <c r="J398" s="24" t="s">
        <v>288</v>
      </c>
      <c r="K398" s="24" t="s">
        <v>288</v>
      </c>
      <c r="L398" s="56">
        <f t="shared" si="26"/>
        <v>2660.83</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5260.23</v>
      </c>
      <c r="I402" s="47">
        <f>SUM(I396:I401)</f>
        <v>0</v>
      </c>
      <c r="J402" s="45" t="s">
        <v>288</v>
      </c>
      <c r="K402" s="45" t="s">
        <v>288</v>
      </c>
      <c r="L402" s="47">
        <f>SUM(L396:L401)</f>
        <v>5260.23</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5260.23</v>
      </c>
      <c r="I409" s="47">
        <f>I394+I402+I408</f>
        <v>0</v>
      </c>
      <c r="J409" s="24" t="s">
        <v>288</v>
      </c>
      <c r="K409" s="24" t="s">
        <v>288</v>
      </c>
      <c r="L409" s="47">
        <f>L394+L402+L408</f>
        <v>5260.23</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v>345757.25</v>
      </c>
      <c r="H440" s="18"/>
      <c r="I440" s="56">
        <f t="shared" ref="I440:I446" si="33">SUM(F440:H440)</f>
        <v>345757.25</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345757.25</v>
      </c>
      <c r="H447" s="13">
        <f>SUM(H440:H446)</f>
        <v>0</v>
      </c>
      <c r="I447" s="13">
        <f>SUM(I440:I446)</f>
        <v>345757.25</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v>345757.25</v>
      </c>
      <c r="H457" s="18"/>
      <c r="I457" s="56">
        <f t="shared" si="34"/>
        <v>345757.25</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345757.25</v>
      </c>
      <c r="H461" s="83">
        <f>SUM(H455:H460)</f>
        <v>0</v>
      </c>
      <c r="I461" s="83">
        <f>SUM(I455:I460)</f>
        <v>345757.25</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345757.25</v>
      </c>
      <c r="H462" s="42">
        <f>H453+H461</f>
        <v>0</v>
      </c>
      <c r="I462" s="42">
        <f>I453+I461</f>
        <v>345757.25</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410930.79</v>
      </c>
      <c r="G466" s="18"/>
      <c r="H466" s="18"/>
      <c r="I466" s="18"/>
      <c r="J466" s="18">
        <v>340497.02</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5341796.41</v>
      </c>
      <c r="G469" s="18">
        <v>213633.08</v>
      </c>
      <c r="H469" s="18">
        <v>462107.51</v>
      </c>
      <c r="I469" s="18"/>
      <c r="J469" s="18">
        <v>5260.23</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5341796.41</v>
      </c>
      <c r="G471" s="53">
        <f>SUM(G469:G470)</f>
        <v>213633.08</v>
      </c>
      <c r="H471" s="53">
        <f>SUM(H469:H470)</f>
        <v>462107.51</v>
      </c>
      <c r="I471" s="53">
        <f>SUM(I469:I470)</f>
        <v>0</v>
      </c>
      <c r="J471" s="53">
        <f>SUM(J469:J470)</f>
        <v>5260.23</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5383414.8200000003</v>
      </c>
      <c r="G473" s="18">
        <v>213633.08</v>
      </c>
      <c r="H473" s="18">
        <v>462107.51</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5383414.8200000003</v>
      </c>
      <c r="G475" s="53">
        <f>SUM(G473:G474)</f>
        <v>213633.08</v>
      </c>
      <c r="H475" s="53">
        <f>SUM(H473:H474)</f>
        <v>462107.51</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369312.37999999989</v>
      </c>
      <c r="G477" s="53">
        <f>(G466+G471)- G475</f>
        <v>0</v>
      </c>
      <c r="H477" s="53">
        <f>(H466+H471)- H475</f>
        <v>0</v>
      </c>
      <c r="I477" s="53">
        <f>(I466+I471)- I475</f>
        <v>0</v>
      </c>
      <c r="J477" s="53">
        <f>(J466+J471)- J475</f>
        <v>345757.25</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10</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1643</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1644</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225501.31</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5.39</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30000</v>
      </c>
      <c r="G496" s="18"/>
      <c r="H496" s="18"/>
      <c r="I496" s="18"/>
      <c r="J496" s="18"/>
      <c r="K496" s="53">
        <f>SUM(F496:J496)</f>
        <v>30000</v>
      </c>
      <c r="L496" s="24" t="s">
        <v>288</v>
      </c>
      <c r="N496" s="265"/>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16212.75</v>
      </c>
      <c r="G498" s="18"/>
      <c r="H498" s="18"/>
      <c r="I498" s="18"/>
      <c r="J498" s="18"/>
      <c r="K498" s="53">
        <f t="shared" si="35"/>
        <v>16212.75</v>
      </c>
      <c r="L498" s="24" t="s">
        <v>288</v>
      </c>
      <c r="N498" s="265"/>
    </row>
    <row r="499" spans="1:14" s="52" customFormat="1" ht="12.2" customHeight="1" x14ac:dyDescent="0.2">
      <c r="A499" s="200" t="s">
        <v>622</v>
      </c>
      <c r="B499" s="201">
        <v>20</v>
      </c>
      <c r="C499" s="202">
        <v>9</v>
      </c>
      <c r="D499" s="203" t="s">
        <v>432</v>
      </c>
      <c r="E499" s="202"/>
      <c r="F499" s="204">
        <v>15000</v>
      </c>
      <c r="G499" s="204"/>
      <c r="H499" s="204"/>
      <c r="I499" s="204"/>
      <c r="J499" s="204"/>
      <c r="K499" s="205">
        <f t="shared" si="35"/>
        <v>15000</v>
      </c>
      <c r="L499" s="206" t="s">
        <v>288</v>
      </c>
      <c r="N499" s="265"/>
    </row>
    <row r="500" spans="1:14" s="52" customFormat="1" ht="12.2" customHeight="1" thickBot="1" x14ac:dyDescent="0.25">
      <c r="A500" s="22" t="s">
        <v>623</v>
      </c>
      <c r="B500" s="75">
        <v>20</v>
      </c>
      <c r="C500" s="115">
        <v>10</v>
      </c>
      <c r="D500" s="2" t="s">
        <v>432</v>
      </c>
      <c r="E500" s="115"/>
      <c r="F500" s="18">
        <v>404.25</v>
      </c>
      <c r="G500" s="18"/>
      <c r="H500" s="18"/>
      <c r="I500" s="18"/>
      <c r="J500" s="18"/>
      <c r="K500" s="53">
        <f t="shared" si="35"/>
        <v>404.25</v>
      </c>
      <c r="L500" s="24" t="s">
        <v>288</v>
      </c>
      <c r="N500" s="265"/>
    </row>
    <row r="501" spans="1:14" s="52" customFormat="1" ht="12.2" customHeight="1" thickTop="1" x14ac:dyDescent="0.2">
      <c r="A501" s="139" t="s">
        <v>624</v>
      </c>
      <c r="B501" s="44">
        <v>20</v>
      </c>
      <c r="C501" s="195">
        <v>11</v>
      </c>
      <c r="D501" s="39" t="s">
        <v>432</v>
      </c>
      <c r="E501" s="195"/>
      <c r="F501" s="42">
        <f>SUM(F499:F500)</f>
        <v>15404.25</v>
      </c>
      <c r="G501" s="42">
        <f>SUM(G499:G500)</f>
        <v>0</v>
      </c>
      <c r="H501" s="42">
        <f>SUM(H499:H500)</f>
        <v>0</v>
      </c>
      <c r="I501" s="42">
        <f>SUM(I499:I500)</f>
        <v>0</v>
      </c>
      <c r="J501" s="42">
        <f>SUM(J499:J500)</f>
        <v>0</v>
      </c>
      <c r="K501" s="42">
        <f t="shared" si="35"/>
        <v>15404.25</v>
      </c>
      <c r="L501" s="45" t="s">
        <v>288</v>
      </c>
      <c r="N501" s="265"/>
    </row>
    <row r="502" spans="1:14" s="52" customFormat="1" ht="12.2" customHeight="1" x14ac:dyDescent="0.2">
      <c r="A502" s="200" t="s">
        <v>651</v>
      </c>
      <c r="B502" s="201">
        <v>20</v>
      </c>
      <c r="C502" s="202">
        <v>12</v>
      </c>
      <c r="D502" s="203" t="s">
        <v>432</v>
      </c>
      <c r="E502" s="202"/>
      <c r="F502" s="204">
        <v>15000</v>
      </c>
      <c r="G502" s="204"/>
      <c r="H502" s="204"/>
      <c r="I502" s="204"/>
      <c r="J502" s="204"/>
      <c r="K502" s="205">
        <f t="shared" si="35"/>
        <v>15000</v>
      </c>
      <c r="L502" s="206" t="s">
        <v>288</v>
      </c>
      <c r="N502" s="265"/>
    </row>
    <row r="503" spans="1:14" s="52" customFormat="1" ht="12.2" customHeight="1" thickBot="1" x14ac:dyDescent="0.25">
      <c r="A503" s="22" t="s">
        <v>625</v>
      </c>
      <c r="B503" s="75">
        <v>20</v>
      </c>
      <c r="C503" s="115">
        <v>13</v>
      </c>
      <c r="D503" s="2" t="s">
        <v>432</v>
      </c>
      <c r="E503" s="115"/>
      <c r="F503" s="18">
        <v>404.25</v>
      </c>
      <c r="G503" s="18"/>
      <c r="H503" s="18"/>
      <c r="I503" s="18"/>
      <c r="J503" s="18"/>
      <c r="K503" s="53">
        <f t="shared" si="35"/>
        <v>404.25</v>
      </c>
      <c r="L503" s="24" t="s">
        <v>288</v>
      </c>
      <c r="N503" s="265"/>
    </row>
    <row r="504" spans="1:14" s="52" customFormat="1" ht="12.2" customHeight="1" thickTop="1" x14ac:dyDescent="0.2">
      <c r="A504" s="139" t="s">
        <v>626</v>
      </c>
      <c r="B504" s="44">
        <v>20</v>
      </c>
      <c r="C504" s="195">
        <v>14</v>
      </c>
      <c r="D504" s="39" t="s">
        <v>432</v>
      </c>
      <c r="E504" s="195"/>
      <c r="F504" s="42">
        <f>SUM(F502:F503)</f>
        <v>15404.25</v>
      </c>
      <c r="G504" s="42">
        <f>SUM(G502:G503)</f>
        <v>0</v>
      </c>
      <c r="H504" s="42">
        <f>SUM(H502:H503)</f>
        <v>0</v>
      </c>
      <c r="I504" s="42">
        <f>SUM(I502:I503)</f>
        <v>0</v>
      </c>
      <c r="J504" s="42">
        <f>SUM(J502:J503)</f>
        <v>0</v>
      </c>
      <c r="K504" s="42">
        <f t="shared" si="35"/>
        <v>15404.25</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105841+88198.64+95657.15+93463.66+6720+4677+4573.37+9700+2155</f>
        <v>410985.82000000007</v>
      </c>
      <c r="G522" s="18">
        <f>20358+9904+618.48+390.72+17716.26+14224.58+19523.17+11342.47+99+2147.52+32.87+431.33+358.51-0.52</f>
        <v>97146.389999999985</v>
      </c>
      <c r="H522" s="18">
        <f>25518+75+19886.79+28025.18+51252.6</f>
        <v>124757.57</v>
      </c>
      <c r="I522" s="18">
        <f>643.53+194.41+371.19+312.98+151.86+129.5+692.73+2500.72+1789.41</f>
        <v>6786.33</v>
      </c>
      <c r="J522" s="18">
        <f>275+410.64</f>
        <v>685.64</v>
      </c>
      <c r="K522" s="18"/>
      <c r="L522" s="88">
        <f>SUM(F522:K522)</f>
        <v>640361.75</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f>46274+22355.47+815</f>
        <v>69444.47</v>
      </c>
      <c r="G524" s="18">
        <f>11004+248.28+5236.03+8236.79+386.79+944.09+85.45</f>
        <v>26141.430000000004</v>
      </c>
      <c r="H524" s="18">
        <f>77886.91-4993.69</f>
        <v>72893.22</v>
      </c>
      <c r="I524" s="18">
        <f>237.9+960.6</f>
        <v>1198.5</v>
      </c>
      <c r="J524" s="18"/>
      <c r="K524" s="18"/>
      <c r="L524" s="88">
        <f>SUM(F524:K524)</f>
        <v>169677.62</v>
      </c>
      <c r="N524" s="265"/>
    </row>
    <row r="525" spans="1:14" s="52" customFormat="1" ht="12.2" customHeight="1" thickTop="1" x14ac:dyDescent="0.2">
      <c r="A525" s="139" t="s">
        <v>63</v>
      </c>
      <c r="B525" s="107">
        <v>21</v>
      </c>
      <c r="C525" s="195">
        <v>4</v>
      </c>
      <c r="D525" s="196" t="s">
        <v>432</v>
      </c>
      <c r="E525" s="195"/>
      <c r="F525" s="108">
        <f>SUM(F522:F524)</f>
        <v>480430.29000000004</v>
      </c>
      <c r="G525" s="108">
        <f t="shared" ref="G525:L525" si="36">SUM(G522:G524)</f>
        <v>123287.81999999999</v>
      </c>
      <c r="H525" s="108">
        <f t="shared" si="36"/>
        <v>197650.79</v>
      </c>
      <c r="I525" s="108">
        <f t="shared" si="36"/>
        <v>7984.83</v>
      </c>
      <c r="J525" s="108">
        <f t="shared" si="36"/>
        <v>685.64</v>
      </c>
      <c r="K525" s="108">
        <f t="shared" si="36"/>
        <v>0</v>
      </c>
      <c r="L525" s="89">
        <f t="shared" si="36"/>
        <v>810039.37</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406.23+833.65-555.96-127.07+21529.62+8762.38+12317.89+2610.92+721.32+15422.34+10688.72+27490.72+0.92+17915.9-0.76+3345.79+10010.52+1496.19+3039.22</f>
        <v>135908.53999999998</v>
      </c>
      <c r="G527" s="18">
        <f>8.69+6.28+25.47+61.85-20.55+116.95-36.44-8.33-31.69-7.24+158.38+43.76+5155.12+734.83+5642.33+1559.78-125.7-35+54.17-7.03+3109.37+1885.57+116.56+65.52+1258.54+803.49+3040.42+1902.84+351.37+47.91-99.94-25.98-46.41-4.76+119.83+78.15+2085.49+0.12+1359.03-0.02+4514.82+0.16+2942.29-0.08+385.15+1343.06+172.24+348.85+2.87+33.83+1.29+8.79+255.76+771.46+114.37+229.4+595.11+1782.63+266.12+540.98-0.09</f>
        <v>43651.740000000027</v>
      </c>
      <c r="H527" s="18">
        <f>171+101+228+165+200+44</f>
        <v>909</v>
      </c>
      <c r="I527" s="18">
        <f>226.9+369.4+262.3+133+108.25+608.91</f>
        <v>1708.7599999999998</v>
      </c>
      <c r="J527" s="18"/>
      <c r="K527" s="18"/>
      <c r="L527" s="88">
        <f>SUM(F527:K527)</f>
        <v>182178.04</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f>310.26-227.67+929.08+74.3+574+20219.47-0.16+128.74+403.6</f>
        <v>22411.620000000003</v>
      </c>
      <c r="G529" s="18">
        <f>4.28+21.36+15.23-14.92-12.98+4.64+79.29+165.36-5.99-2.61+108.54+4.13+42.17+102.1-3.97-1.96+88.06+1533.89-0.02-0.08+3320.66+14.82+52.32+0.11+1.32+9.84+30.83+22.9+71.86</f>
        <v>5651.1799999999985</v>
      </c>
      <c r="H529" s="18">
        <f>167+71+20</f>
        <v>258</v>
      </c>
      <c r="I529" s="18">
        <f>165.7+133+120.98</f>
        <v>419.68</v>
      </c>
      <c r="J529" s="18"/>
      <c r="K529" s="18"/>
      <c r="L529" s="88">
        <f>SUM(F529:K529)</f>
        <v>28740.480000000003</v>
      </c>
      <c r="M529" s="8"/>
      <c r="N529" s="266"/>
    </row>
    <row r="530" spans="1:14" s="3" customFormat="1" ht="12.2" customHeight="1" thickTop="1" x14ac:dyDescent="0.15">
      <c r="A530" s="139" t="s">
        <v>65</v>
      </c>
      <c r="B530" s="107">
        <v>21</v>
      </c>
      <c r="C530" s="107">
        <v>8</v>
      </c>
      <c r="D530" s="158" t="s">
        <v>432</v>
      </c>
      <c r="E530" s="107"/>
      <c r="F530" s="89">
        <f>SUM(F527:F529)</f>
        <v>158320.15999999997</v>
      </c>
      <c r="G530" s="89">
        <f t="shared" ref="G530:L530" si="37">SUM(G527:G529)</f>
        <v>49302.920000000027</v>
      </c>
      <c r="H530" s="89">
        <f t="shared" si="37"/>
        <v>1167</v>
      </c>
      <c r="I530" s="89">
        <f t="shared" si="37"/>
        <v>2128.4399999999996</v>
      </c>
      <c r="J530" s="89">
        <f t="shared" si="37"/>
        <v>0</v>
      </c>
      <c r="K530" s="89">
        <f t="shared" si="37"/>
        <v>0</v>
      </c>
      <c r="L530" s="89">
        <f t="shared" si="37"/>
        <v>210918.52000000002</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f>18074.84+10659.65+9242.69+5450.8</f>
        <v>43427.98</v>
      </c>
      <c r="G532" s="18">
        <f>7765.79+4579.82+154.22+90.9+2008.31+1184.37+1072.22+632.24+3177.59+1874.02+1145.39+675.48-46.76-27.58+5.41+3.88</f>
        <v>24295.300000000003</v>
      </c>
      <c r="H532" s="18">
        <f>164.58+82.29+275+313.9+1157.33+212.29</f>
        <v>2205.39</v>
      </c>
      <c r="I532" s="18">
        <f>450+300+430+200</f>
        <v>1380</v>
      </c>
      <c r="J532" s="18"/>
      <c r="K532" s="18">
        <f>1830.94+1188.09</f>
        <v>3019.0299999999997</v>
      </c>
      <c r="L532" s="88">
        <f>SUM(F532:K532)</f>
        <v>74327.7</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f>17611.37+9005.9</f>
        <v>26617.269999999997</v>
      </c>
      <c r="G534" s="18">
        <f>7566.57+150.51+1956.29+1044.92+3095.91+1116.01-45.57+7.56</f>
        <v>14892.199999999999</v>
      </c>
      <c r="H534" s="18">
        <f>164.62+292.75+322.69</f>
        <v>780.06</v>
      </c>
      <c r="I534" s="18">
        <f>219.54+220</f>
        <v>439.53999999999996</v>
      </c>
      <c r="J534" s="18"/>
      <c r="K534" s="18">
        <f>1660.04</f>
        <v>1660.04</v>
      </c>
      <c r="L534" s="88">
        <f>SUM(F534:K534)</f>
        <v>44389.109999999993</v>
      </c>
      <c r="M534" s="8"/>
      <c r="N534" s="266"/>
    </row>
    <row r="535" spans="1:14" s="3" customFormat="1" ht="12.2" customHeight="1" thickTop="1" x14ac:dyDescent="0.15">
      <c r="A535" s="139" t="s">
        <v>67</v>
      </c>
      <c r="B535" s="107">
        <v>21</v>
      </c>
      <c r="C535" s="107">
        <v>12</v>
      </c>
      <c r="D535" s="158" t="s">
        <v>432</v>
      </c>
      <c r="E535" s="107"/>
      <c r="F535" s="89">
        <f>SUM(F532:F534)</f>
        <v>70045.25</v>
      </c>
      <c r="G535" s="89">
        <f t="shared" ref="G535:L535" si="38">SUM(G532:G534)</f>
        <v>39187.5</v>
      </c>
      <c r="H535" s="89">
        <f t="shared" si="38"/>
        <v>2985.45</v>
      </c>
      <c r="I535" s="89">
        <f t="shared" si="38"/>
        <v>1819.54</v>
      </c>
      <c r="J535" s="89">
        <f t="shared" si="38"/>
        <v>0</v>
      </c>
      <c r="K535" s="89">
        <f t="shared" si="38"/>
        <v>4679.07</v>
      </c>
      <c r="L535" s="89">
        <f t="shared" si="38"/>
        <v>118716.81</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f>4503.38+9126</f>
        <v>13629.380000000001</v>
      </c>
      <c r="I542" s="18"/>
      <c r="J542" s="18"/>
      <c r="K542" s="18"/>
      <c r="L542" s="88">
        <f>SUM(F542:K542)</f>
        <v>13629.380000000001</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13629.380000000001</v>
      </c>
      <c r="I545" s="193">
        <f t="shared" si="40"/>
        <v>0</v>
      </c>
      <c r="J545" s="193">
        <f t="shared" si="40"/>
        <v>0</v>
      </c>
      <c r="K545" s="193">
        <f t="shared" si="40"/>
        <v>0</v>
      </c>
      <c r="L545" s="193">
        <f t="shared" si="40"/>
        <v>13629.380000000001</v>
      </c>
      <c r="M545" s="8"/>
      <c r="N545" s="266"/>
    </row>
    <row r="546" spans="1:14" s="3" customFormat="1" ht="12.2" customHeight="1" thickTop="1" x14ac:dyDescent="0.15">
      <c r="A546" s="98" t="s">
        <v>72</v>
      </c>
      <c r="B546" s="107">
        <v>21</v>
      </c>
      <c r="C546" s="107">
        <v>21</v>
      </c>
      <c r="D546" s="158" t="s">
        <v>432</v>
      </c>
      <c r="E546" s="107"/>
      <c r="F546" s="89">
        <f>F525+F530+F535+F540+F545</f>
        <v>708795.7</v>
      </c>
      <c r="G546" s="89">
        <f t="shared" ref="G546:L546" si="41">G525+G530+G535+G540+G545</f>
        <v>211778.24000000002</v>
      </c>
      <c r="H546" s="89">
        <f t="shared" si="41"/>
        <v>215432.62000000002</v>
      </c>
      <c r="I546" s="89">
        <f t="shared" si="41"/>
        <v>11932.810000000001</v>
      </c>
      <c r="J546" s="89">
        <f t="shared" si="41"/>
        <v>685.64</v>
      </c>
      <c r="K546" s="89">
        <f t="shared" si="41"/>
        <v>4679.07</v>
      </c>
      <c r="L546" s="89">
        <f t="shared" si="41"/>
        <v>1153304.0799999998</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640361.75</v>
      </c>
      <c r="G550" s="87">
        <f>L527</f>
        <v>182178.04</v>
      </c>
      <c r="H550" s="87">
        <f>L532</f>
        <v>74327.7</v>
      </c>
      <c r="I550" s="87">
        <f>L537</f>
        <v>0</v>
      </c>
      <c r="J550" s="87">
        <f>L542</f>
        <v>13629.380000000001</v>
      </c>
      <c r="K550" s="87">
        <f>SUM(F550:J550)</f>
        <v>910496.87</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169677.62</v>
      </c>
      <c r="G552" s="87">
        <f>L529</f>
        <v>28740.480000000003</v>
      </c>
      <c r="H552" s="87">
        <f>L534</f>
        <v>44389.109999999993</v>
      </c>
      <c r="I552" s="87">
        <f>L539</f>
        <v>0</v>
      </c>
      <c r="J552" s="87">
        <f>L544</f>
        <v>0</v>
      </c>
      <c r="K552" s="87">
        <f>SUM(F552:J552)</f>
        <v>242807.21</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810039.37</v>
      </c>
      <c r="G553" s="89">
        <f t="shared" si="42"/>
        <v>210918.52000000002</v>
      </c>
      <c r="H553" s="89">
        <f t="shared" si="42"/>
        <v>118716.81</v>
      </c>
      <c r="I553" s="89">
        <f t="shared" si="42"/>
        <v>0</v>
      </c>
      <c r="J553" s="89">
        <f t="shared" si="42"/>
        <v>13629.380000000001</v>
      </c>
      <c r="K553" s="89">
        <f t="shared" si="42"/>
        <v>1153304.08</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19886.79</v>
      </c>
      <c r="G580" s="18"/>
      <c r="H580" s="18"/>
      <c r="I580" s="87">
        <f t="shared" si="47"/>
        <v>19886.79</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f>28025.18+51252.6</f>
        <v>79277.78</v>
      </c>
      <c r="G583" s="18"/>
      <c r="H583" s="18">
        <v>77886.91</v>
      </c>
      <c r="I583" s="87">
        <f t="shared" si="47"/>
        <v>157164.69</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20605.8</v>
      </c>
      <c r="I585" s="87">
        <f t="shared" si="47"/>
        <v>20605.8</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37635.75+25839.93</f>
        <v>63475.68</v>
      </c>
      <c r="I592" s="18"/>
      <c r="J592" s="18">
        <f>68815.32-29313</f>
        <v>39502.320000000007</v>
      </c>
      <c r="K592" s="104">
        <f t="shared" ref="K592:K598" si="48">SUM(H592:J592)</f>
        <v>102978</v>
      </c>
      <c r="L592" s="24" t="s">
        <v>288</v>
      </c>
      <c r="M592" s="8"/>
      <c r="N592" s="266"/>
    </row>
    <row r="593" spans="1:14" s="3" customFormat="1" ht="12.2" customHeight="1" x14ac:dyDescent="0.15">
      <c r="A593" s="3" t="s">
        <v>638</v>
      </c>
      <c r="B593" s="75">
        <v>23</v>
      </c>
      <c r="C593" s="75">
        <v>2</v>
      </c>
      <c r="D593" s="2" t="s">
        <v>432</v>
      </c>
      <c r="E593" s="75"/>
      <c r="F593" s="102">
        <v>2722</v>
      </c>
      <c r="G593" s="103" t="s">
        <v>97</v>
      </c>
      <c r="H593" s="18">
        <f>4503.38+9126</f>
        <v>13629.380000000001</v>
      </c>
      <c r="I593" s="18"/>
      <c r="J593" s="18"/>
      <c r="K593" s="104">
        <f t="shared" si="48"/>
        <v>13629.380000000001</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29313</v>
      </c>
      <c r="K594" s="104">
        <f t="shared" si="48"/>
        <v>29313</v>
      </c>
      <c r="L594" s="24" t="s">
        <v>288</v>
      </c>
      <c r="M594" s="8"/>
      <c r="N594" s="266"/>
    </row>
    <row r="595" spans="1:14" s="3" customFormat="1" ht="12.2" customHeight="1" x14ac:dyDescent="0.15">
      <c r="A595" s="22" t="s">
        <v>640</v>
      </c>
      <c r="B595" s="75">
        <v>23</v>
      </c>
      <c r="C595" s="75">
        <v>4</v>
      </c>
      <c r="D595" s="2" t="s">
        <v>432</v>
      </c>
      <c r="E595" s="75"/>
      <c r="F595" s="102">
        <v>2724</v>
      </c>
      <c r="G595" s="103" t="s">
        <v>97</v>
      </c>
      <c r="H595" s="18">
        <f>3189.1+4291.95</f>
        <v>7481.0499999999993</v>
      </c>
      <c r="I595" s="18"/>
      <c r="J595" s="18">
        <v>10472.299999999999</v>
      </c>
      <c r="K595" s="104">
        <f t="shared" si="48"/>
        <v>17953.349999999999</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f>-184.5+2864.5</f>
        <v>2680</v>
      </c>
      <c r="I596" s="18"/>
      <c r="J596" s="18">
        <v>851.87</v>
      </c>
      <c r="K596" s="104">
        <f t="shared" si="48"/>
        <v>3531.87</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87266.11</v>
      </c>
      <c r="I599" s="108">
        <f>SUM(I592:I598)</f>
        <v>0</v>
      </c>
      <c r="J599" s="108">
        <f>SUM(J592:J598)</f>
        <v>80139.490000000005</v>
      </c>
      <c r="K599" s="108">
        <f>SUM(K592:K598)</f>
        <v>167405.6</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52556.53</v>
      </c>
      <c r="I605" s="18"/>
      <c r="J605" s="18">
        <v>66629.62</v>
      </c>
      <c r="K605" s="104">
        <f>SUM(H605:J605)</f>
        <v>119186.15</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52556.53</v>
      </c>
      <c r="I606" s="108">
        <f>SUM(I603:I605)</f>
        <v>0</v>
      </c>
      <c r="J606" s="108">
        <f>SUM(J603:J605)</f>
        <v>66629.62</v>
      </c>
      <c r="K606" s="108">
        <f>SUM(K603:K605)</f>
        <v>119186.15</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f>273.6+16900+9780</f>
        <v>26953.599999999999</v>
      </c>
      <c r="G612" s="18">
        <f>20.93+48.7+2040.56+3008.2</f>
        <v>5118.3899999999994</v>
      </c>
      <c r="H612" s="18">
        <f>90</f>
        <v>90</v>
      </c>
      <c r="I612" s="18">
        <f>1710.88+609.61+418.47+378.64</f>
        <v>3117.6</v>
      </c>
      <c r="J612" s="18"/>
      <c r="K612" s="18"/>
      <c r="L612" s="88">
        <f>SUM(F612:K612)</f>
        <v>35279.589999999997</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v>-378.6</v>
      </c>
      <c r="G614" s="18">
        <f>34.15+79.46</f>
        <v>113.60999999999999</v>
      </c>
      <c r="H614" s="18"/>
      <c r="I614" s="18"/>
      <c r="J614" s="18"/>
      <c r="K614" s="18"/>
      <c r="L614" s="88">
        <f>SUM(F614:K614)</f>
        <v>-264.99</v>
      </c>
      <c r="M614" s="8"/>
      <c r="N614" s="266"/>
    </row>
    <row r="615" spans="1:14" s="3" customFormat="1" ht="12.2" customHeight="1" thickTop="1" x14ac:dyDescent="0.15">
      <c r="A615" s="98" t="s">
        <v>340</v>
      </c>
      <c r="B615" s="107">
        <v>23</v>
      </c>
      <c r="C615" s="107">
        <v>16</v>
      </c>
      <c r="D615" s="39" t="s">
        <v>432</v>
      </c>
      <c r="E615" s="107"/>
      <c r="F615" s="108">
        <f t="shared" ref="F615:L615" si="49">SUM(F612:F614)</f>
        <v>26575</v>
      </c>
      <c r="G615" s="108">
        <f t="shared" si="49"/>
        <v>5231.9999999999991</v>
      </c>
      <c r="H615" s="108">
        <f t="shared" si="49"/>
        <v>90</v>
      </c>
      <c r="I615" s="108">
        <f t="shared" si="49"/>
        <v>3117.6</v>
      </c>
      <c r="J615" s="108">
        <f t="shared" si="49"/>
        <v>0</v>
      </c>
      <c r="K615" s="108">
        <f t="shared" si="49"/>
        <v>0</v>
      </c>
      <c r="L615" s="89">
        <f t="shared" si="49"/>
        <v>35014.6</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373162.93</v>
      </c>
      <c r="H618" s="109">
        <f>SUM(F52)</f>
        <v>373162.93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10944.81</v>
      </c>
      <c r="H619" s="109">
        <f>SUM(G52)</f>
        <v>10944.81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121973.99</v>
      </c>
      <c r="H620" s="109">
        <f>SUM(H52)</f>
        <v>121973.99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345757.25</v>
      </c>
      <c r="H622" s="109">
        <f>SUM(J52)</f>
        <v>345757.25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369312.38</v>
      </c>
      <c r="H623" s="109">
        <f>F477</f>
        <v>369312.37999999989</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345757.25</v>
      </c>
      <c r="H627" s="109">
        <f>J477</f>
        <v>345757.25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5341796.41</v>
      </c>
      <c r="H628" s="104">
        <f>SUM(F469)</f>
        <v>5341796.41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213633.08</v>
      </c>
      <c r="H629" s="104">
        <f>SUM(G469)</f>
        <v>213633.08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462107.51</v>
      </c>
      <c r="H630" s="104">
        <f>SUM(H469)</f>
        <v>462107.51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5260.23</v>
      </c>
      <c r="H632" s="104">
        <f>SUM(J469)</f>
        <v>5260.23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5383414.8200000003</v>
      </c>
      <c r="H633" s="104">
        <f>SUM(F473)</f>
        <v>5383414.8200000003</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462107.51000000007</v>
      </c>
      <c r="H634" s="104">
        <f>SUM(H473)</f>
        <v>462107.51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79.27000000000001</v>
      </c>
      <c r="H635" s="104">
        <f>I370</f>
        <v>79.27000000000001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213633.08000000002</v>
      </c>
      <c r="H636" s="104">
        <f>SUM(G473)</f>
        <v>213633.08</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5260.23</v>
      </c>
      <c r="H638" s="164">
        <f>SUM(J469)</f>
        <v>5260.23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345757.25</v>
      </c>
      <c r="H641" s="104">
        <f>SUM(G462)</f>
        <v>345757.25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345757.25</v>
      </c>
      <c r="H643" s="104">
        <f>SUM(I462)</f>
        <v>345757.25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5260.23</v>
      </c>
      <c r="H645" s="104">
        <f>H409</f>
        <v>5260.23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5260.23</v>
      </c>
      <c r="H647" s="104">
        <f>L409</f>
        <v>5260.23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167405.6</v>
      </c>
      <c r="H648" s="104">
        <f>L209+L227+L245</f>
        <v>167405.6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119186.15</v>
      </c>
      <c r="H649" s="104">
        <f>(J258+J339)-(J256+J337)</f>
        <v>119186.15000000001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87266.11</v>
      </c>
      <c r="H650" s="104">
        <f>H599</f>
        <v>87266.11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80139.490000000005</v>
      </c>
      <c r="H652" s="104">
        <f>J599</f>
        <v>80139.490000000005</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18064.650000000001</v>
      </c>
      <c r="H653" s="104">
        <f>K264+K346</f>
        <v>18064.650000000001</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3615039.5799999996</v>
      </c>
      <c r="G661" s="19">
        <f>(L230+L310+L360)</f>
        <v>0</v>
      </c>
      <c r="H661" s="19">
        <f>(L248+L329+L361)</f>
        <v>2294311.6</v>
      </c>
      <c r="I661" s="19">
        <f>SUM(F661:H661)</f>
        <v>5909351.1799999997</v>
      </c>
      <c r="J661" s="13"/>
      <c r="K661" s="13"/>
      <c r="L661" s="13"/>
      <c r="M661" s="9"/>
    </row>
    <row r="662" spans="1:13" s="3" customFormat="1" ht="12.2" customHeight="1" x14ac:dyDescent="0.2">
      <c r="A662" s="1" t="s">
        <v>127</v>
      </c>
      <c r="F662" s="19">
        <f>(L359/IF(SUM(L359:L361)=0,1,SUM(L359:L361))*(SUM(G97:G110)))</f>
        <v>20044.128318648029</v>
      </c>
      <c r="G662" s="19">
        <f>(L360/IF(SUM(L359:L361)=0,1,SUM(L359:L361))*(SUM(G97:G110)))</f>
        <v>0</v>
      </c>
      <c r="H662" s="19">
        <f>(L361/IF(SUM(L359:L361)=0,1,SUM(L359:L361))*(SUM(G97:G110)))</f>
        <v>12284.971681351968</v>
      </c>
      <c r="I662" s="19">
        <f>SUM(F662:H662)</f>
        <v>32329.1</v>
      </c>
      <c r="J662"/>
      <c r="K662" s="13"/>
      <c r="L662" s="13"/>
      <c r="M662" s="8"/>
    </row>
    <row r="663" spans="1:13" s="3" customFormat="1" ht="12.2" customHeight="1" x14ac:dyDescent="0.2">
      <c r="A663" s="1" t="s">
        <v>128</v>
      </c>
      <c r="F663" s="19">
        <f>(L209+L288)-(J209+J288)</f>
        <v>87266.11</v>
      </c>
      <c r="G663" s="19">
        <f>(L227+L307)-(J227+J307)</f>
        <v>0</v>
      </c>
      <c r="H663" s="19">
        <f>(L245+L326)-(J245+J326)</f>
        <v>80139.490000000005</v>
      </c>
      <c r="I663" s="19">
        <f>SUM(F663:H663)</f>
        <v>167405.6</v>
      </c>
      <c r="J663"/>
      <c r="K663" s="13"/>
      <c r="L663" s="13"/>
      <c r="M663" s="9"/>
    </row>
    <row r="664" spans="1:13" s="3" customFormat="1" ht="12.2" customHeight="1" x14ac:dyDescent="0.15">
      <c r="A664" s="198" t="s">
        <v>129</v>
      </c>
      <c r="B664" s="169"/>
      <c r="C664" s="169"/>
      <c r="D664" s="169"/>
      <c r="E664" s="169"/>
      <c r="F664" s="199">
        <f>SUM(F576:F588)+SUM(H603:H605)+SUM(L612)</f>
        <v>187000.69</v>
      </c>
      <c r="G664" s="199">
        <f>SUM(G576:G588)+SUM(I603:I605)+L613</f>
        <v>0</v>
      </c>
      <c r="H664" s="199">
        <f>SUM(H576:H588)+SUM(J603:J605)+L614</f>
        <v>164857.34000000003</v>
      </c>
      <c r="I664" s="19">
        <f>SUM(F664:H664)</f>
        <v>351858.03</v>
      </c>
      <c r="J664" s="13"/>
      <c r="K664" s="13"/>
      <c r="L664" s="13"/>
      <c r="M664" s="9"/>
    </row>
    <row r="665" spans="1:13" s="3" customFormat="1" ht="12.2" customHeight="1" x14ac:dyDescent="0.15">
      <c r="A665" s="1" t="s">
        <v>130</v>
      </c>
      <c r="F665" s="19">
        <f>F661-SUM(F662:F664)</f>
        <v>3320728.6516813515</v>
      </c>
      <c r="G665" s="19">
        <f>G661-SUM(G662:G664)</f>
        <v>0</v>
      </c>
      <c r="H665" s="19">
        <f>H661-SUM(H662:H664)</f>
        <v>2037029.798318648</v>
      </c>
      <c r="I665" s="19">
        <f>I661-SUM(I662:I664)</f>
        <v>5357758.4499999993</v>
      </c>
      <c r="J665" s="13"/>
      <c r="K665" s="13"/>
      <c r="L665" s="13"/>
      <c r="M665" s="8"/>
    </row>
    <row r="666" spans="1:13" s="3" customFormat="1" ht="12.2" customHeight="1" x14ac:dyDescent="0.2">
      <c r="A666" s="1" t="s">
        <v>131</v>
      </c>
      <c r="F666" s="246">
        <v>207.46</v>
      </c>
      <c r="G666" s="247"/>
      <c r="H666" s="247">
        <v>125.04</v>
      </c>
      <c r="I666" s="19">
        <f>SUM(F666:H666)</f>
        <v>332.5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16006.6</v>
      </c>
      <c r="G668" s="19" t="e">
        <f>ROUND(G665/G666,2)</f>
        <v>#DIV/0!</v>
      </c>
      <c r="H668" s="19">
        <f>ROUND(H665/H666,2)</f>
        <v>16291.03</v>
      </c>
      <c r="I668" s="19">
        <f>ROUND(I665/I666,2)</f>
        <v>16113.56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-4</v>
      </c>
      <c r="I671" s="19">
        <f>SUM(F671:H671)</f>
        <v>-4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16006.6</v>
      </c>
      <c r="G673" s="19" t="e">
        <f>ROUND((G665+G670)/(G666+G671),2)</f>
        <v>#DIV/0!</v>
      </c>
      <c r="H673" s="19">
        <f>ROUND((H665+H670)/(H666+H671),2)</f>
        <v>16829.39</v>
      </c>
      <c r="I673" s="19">
        <f>ROUND((I665+I670)/(I666+I671),2)</f>
        <v>16309.77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4"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NORTHUMBERLAND SD</v>
      </c>
      <c r="C5" s="344"/>
      <c r="D5" s="344"/>
      <c r="E5" s="344"/>
      <c r="F5" s="344"/>
    </row>
    <row r="8" spans="1:9" ht="18" x14ac:dyDescent="0.25">
      <c r="A8" s="323" t="s">
        <v>1591</v>
      </c>
      <c r="F8" s="330" t="s">
        <v>1609</v>
      </c>
    </row>
    <row r="9" spans="1:9" ht="15" x14ac:dyDescent="0.2">
      <c r="A9" s="321" t="s">
        <v>1592</v>
      </c>
      <c r="B9" s="324">
        <f>'DOE25'!G97</f>
        <v>32329.1</v>
      </c>
      <c r="F9" s="321" t="s">
        <v>1605</v>
      </c>
    </row>
    <row r="10" spans="1:9" ht="15" x14ac:dyDescent="0.2">
      <c r="A10" s="321" t="s">
        <v>1593</v>
      </c>
      <c r="B10" s="324">
        <f>'DOE25'!G112-'DOE25'!G97</f>
        <v>0</v>
      </c>
      <c r="F10" s="321" t="s">
        <v>1606</v>
      </c>
    </row>
    <row r="11" spans="1:9" ht="15" x14ac:dyDescent="0.2">
      <c r="A11" s="321" t="s">
        <v>1594</v>
      </c>
      <c r="B11" s="324">
        <f>'DOE25'!G140</f>
        <v>1843.97</v>
      </c>
      <c r="F11" s="321" t="s">
        <v>1607</v>
      </c>
    </row>
    <row r="12" spans="1:9" ht="15" x14ac:dyDescent="0.2">
      <c r="A12" s="321" t="s">
        <v>1595</v>
      </c>
      <c r="B12" s="324">
        <f>'DOE25'!G170</f>
        <v>161395.35999999999</v>
      </c>
      <c r="F12" s="321" t="s">
        <v>1608</v>
      </c>
    </row>
    <row r="13" spans="1:9" ht="15" x14ac:dyDescent="0.2">
      <c r="A13" s="321" t="s">
        <v>1596</v>
      </c>
      <c r="B13" s="324">
        <f>'DOE25'!G193-'DOE25'!G180</f>
        <v>0</v>
      </c>
      <c r="F13" s="321" t="s">
        <v>1618</v>
      </c>
    </row>
    <row r="14" spans="1:9" ht="18" x14ac:dyDescent="0.25">
      <c r="A14" s="323" t="s">
        <v>732</v>
      </c>
      <c r="B14" s="325">
        <f>SUM(B9:B13)</f>
        <v>195568.43</v>
      </c>
    </row>
    <row r="16" spans="1:9" ht="18" x14ac:dyDescent="0.25">
      <c r="A16" s="323" t="s">
        <v>786</v>
      </c>
      <c r="F16" s="330" t="s">
        <v>1610</v>
      </c>
    </row>
    <row r="17" spans="1:6" ht="15" x14ac:dyDescent="0.2">
      <c r="A17" s="321" t="s">
        <v>1597</v>
      </c>
      <c r="B17" s="324">
        <f>'DOE25'!L363-'DOE25'!L362</f>
        <v>213633.08000000002</v>
      </c>
      <c r="F17" s="321" t="s">
        <v>1611</v>
      </c>
    </row>
    <row r="18" spans="1:6" ht="15" x14ac:dyDescent="0.2">
      <c r="A18" s="321" t="s">
        <v>1598</v>
      </c>
      <c r="B18" s="338"/>
      <c r="F18" s="330" t="s">
        <v>1637</v>
      </c>
    </row>
    <row r="19" spans="1:6" ht="18" x14ac:dyDescent="0.25">
      <c r="A19" s="323" t="s">
        <v>725</v>
      </c>
      <c r="B19" s="325">
        <f>SUM(B17:B18)</f>
        <v>213633.08000000002</v>
      </c>
    </row>
    <row r="21" spans="1:6" ht="18.75" thickBot="1" x14ac:dyDescent="0.3">
      <c r="A21" s="323" t="s">
        <v>1599</v>
      </c>
    </row>
    <row r="22" spans="1:6" ht="18.75" thickTop="1" x14ac:dyDescent="0.25">
      <c r="A22" s="323" t="s">
        <v>1600</v>
      </c>
      <c r="B22" s="329">
        <f>B14-B19</f>
        <v>-18064.650000000023</v>
      </c>
      <c r="F22" s="321" t="s">
        <v>1612</v>
      </c>
    </row>
    <row r="26" spans="1:6" ht="18" x14ac:dyDescent="0.25">
      <c r="A26" s="323" t="s">
        <v>186</v>
      </c>
    </row>
    <row r="27" spans="1:6" ht="15" x14ac:dyDescent="0.2">
      <c r="A27" s="321" t="s">
        <v>1601</v>
      </c>
      <c r="B27" s="324">
        <f>'DOE25'!G180</f>
        <v>18064.650000000001</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18670.349999999999</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59" sqref="B5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NORTHUMBERLAND SD</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1543303.8699999999</v>
      </c>
      <c r="C9" s="229">
        <f>'DOE25'!G198+'DOE25'!G216+'DOE25'!G234+'DOE25'!G277+'DOE25'!G296+'DOE25'!G315</f>
        <v>609018.28999999992</v>
      </c>
    </row>
    <row r="10" spans="1:3" x14ac:dyDescent="0.2">
      <c r="A10" t="s">
        <v>775</v>
      </c>
      <c r="B10" s="240">
        <v>1490676.6</v>
      </c>
      <c r="C10" s="240">
        <v>604992.30000000005</v>
      </c>
    </row>
    <row r="11" spans="1:3" x14ac:dyDescent="0.2">
      <c r="A11" t="s">
        <v>776</v>
      </c>
      <c r="B11" s="240">
        <v>52627.27</v>
      </c>
      <c r="C11" s="240">
        <v>4025.99</v>
      </c>
    </row>
    <row r="12" spans="1:3" x14ac:dyDescent="0.2">
      <c r="A12" t="s">
        <v>777</v>
      </c>
      <c r="B12" s="240"/>
      <c r="C12" s="240"/>
    </row>
    <row r="13" spans="1:3" x14ac:dyDescent="0.2">
      <c r="A13" t="str">
        <f>IF(B9=B13,IF(C9=C13,"Check Total OK","Check Total Error"),"Check Total Error")</f>
        <v>Check Total OK</v>
      </c>
      <c r="B13" s="231">
        <f>SUM(B10:B12)</f>
        <v>1543303.87</v>
      </c>
      <c r="C13" s="231">
        <f>SUM(C10:C12)</f>
        <v>609018.29</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480430.29000000004</v>
      </c>
      <c r="C18" s="229">
        <f>'DOE25'!G199+'DOE25'!G217+'DOE25'!G235+'DOE25'!G278+'DOE25'!G297+'DOE25'!G316</f>
        <v>123288.34</v>
      </c>
    </row>
    <row r="19" spans="1:3" x14ac:dyDescent="0.2">
      <c r="A19" t="s">
        <v>775</v>
      </c>
      <c r="B19" s="240">
        <v>249564</v>
      </c>
      <c r="C19" s="240">
        <v>105627.07</v>
      </c>
    </row>
    <row r="20" spans="1:3" x14ac:dyDescent="0.2">
      <c r="A20" t="s">
        <v>776</v>
      </c>
      <c r="B20" s="240">
        <v>230866.29</v>
      </c>
      <c r="C20" s="240">
        <v>17661.27</v>
      </c>
    </row>
    <row r="21" spans="1:3" x14ac:dyDescent="0.2">
      <c r="A21" t="s">
        <v>777</v>
      </c>
      <c r="B21" s="240"/>
      <c r="C21" s="240"/>
    </row>
    <row r="22" spans="1:3" x14ac:dyDescent="0.2">
      <c r="A22" t="str">
        <f>IF(B18=B22,IF(C18=C22,"Check Total OK","Check Total Error"),"Check Total Error")</f>
        <v>Check Total OK</v>
      </c>
      <c r="B22" s="231">
        <f>SUM(B19:B21)</f>
        <v>480430.29000000004</v>
      </c>
      <c r="C22" s="231">
        <f>SUM(C19:C21)</f>
        <v>123288.34000000001</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90901</v>
      </c>
      <c r="C36" s="235">
        <f>'DOE25'!G201+'DOE25'!G219+'DOE25'!G237+'DOE25'!G280+'DOE25'!G299+'DOE25'!G318</f>
        <v>16793.45</v>
      </c>
    </row>
    <row r="37" spans="1:3" x14ac:dyDescent="0.2">
      <c r="A37" t="s">
        <v>775</v>
      </c>
      <c r="B37" s="240">
        <v>81121</v>
      </c>
      <c r="C37" s="240">
        <v>16045.28</v>
      </c>
    </row>
    <row r="38" spans="1:3" x14ac:dyDescent="0.2">
      <c r="A38" t="s">
        <v>776</v>
      </c>
      <c r="B38" s="240">
        <v>9780</v>
      </c>
      <c r="C38" s="240">
        <v>748.17</v>
      </c>
    </row>
    <row r="39" spans="1:3" x14ac:dyDescent="0.2">
      <c r="A39" t="s">
        <v>777</v>
      </c>
      <c r="B39" s="240"/>
      <c r="C39" s="240"/>
    </row>
    <row r="40" spans="1:3" x14ac:dyDescent="0.2">
      <c r="A40" t="str">
        <f>IF(B36=B40,IF(C36=C40,"Check Total OK","Check Total Error"),"Check Total Error")</f>
        <v>Check Total OK</v>
      </c>
      <c r="B40" s="231">
        <f>SUM(B37:B39)</f>
        <v>90901</v>
      </c>
      <c r="C40" s="231">
        <f>SUM(C37:C39)</f>
        <v>16793.45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27" sqref="F2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NORTHUMBERLAND SD</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3142250.8600000003</v>
      </c>
      <c r="D5" s="20">
        <f>SUM('DOE25'!L198:L201)+SUM('DOE25'!L216:L219)+SUM('DOE25'!L234:L237)-F5-G5-H5</f>
        <v>3108953.2800000003</v>
      </c>
      <c r="E5" s="243"/>
      <c r="F5" s="244"/>
      <c r="G5" s="53">
        <f>SUM('DOE25'!J198:J201)+SUM('DOE25'!J216:J219)+SUM('DOE25'!J234:J237)</f>
        <v>30183.58</v>
      </c>
      <c r="H5" s="53">
        <f>SUM('DOE25'!K198:K201)+SUM('DOE25'!K216:K219)+SUM('DOE25'!K234:K237)</f>
        <v>3114</v>
      </c>
      <c r="I5" s="256"/>
    </row>
    <row r="6" spans="1:9" x14ac:dyDescent="0.2">
      <c r="A6" s="32">
        <v>2100</v>
      </c>
      <c r="B6" t="s">
        <v>796</v>
      </c>
      <c r="C6" s="276">
        <f t="shared" si="0"/>
        <v>365452.24999999994</v>
      </c>
      <c r="D6" s="20">
        <f>'DOE25'!L203+'DOE25'!L221+'DOE25'!L239-F6-G6-H6</f>
        <v>363763.47</v>
      </c>
      <c r="E6" s="243"/>
      <c r="F6" s="244"/>
      <c r="G6" s="53">
        <f>'DOE25'!J203+'DOE25'!J221+'DOE25'!J239</f>
        <v>337.48</v>
      </c>
      <c r="H6" s="53">
        <f>'DOE25'!K203+'DOE25'!K221+'DOE25'!K239</f>
        <v>1351.3</v>
      </c>
      <c r="I6" s="256"/>
    </row>
    <row r="7" spans="1:9" x14ac:dyDescent="0.2">
      <c r="A7" s="32">
        <v>2200</v>
      </c>
      <c r="B7" t="s">
        <v>821</v>
      </c>
      <c r="C7" s="276">
        <f t="shared" si="0"/>
        <v>92014.57</v>
      </c>
      <c r="D7" s="20">
        <f>'DOE25'!L204+'DOE25'!L222+'DOE25'!L240-F7-G7-H7</f>
        <v>92014.57</v>
      </c>
      <c r="E7" s="243"/>
      <c r="F7" s="244"/>
      <c r="G7" s="53">
        <f>'DOE25'!J204+'DOE25'!J222+'DOE25'!J240</f>
        <v>0</v>
      </c>
      <c r="H7" s="53">
        <f>'DOE25'!K204+'DOE25'!K222+'DOE25'!K240</f>
        <v>0</v>
      </c>
      <c r="I7" s="256"/>
    </row>
    <row r="8" spans="1:9" x14ac:dyDescent="0.2">
      <c r="A8" s="32">
        <v>2300</v>
      </c>
      <c r="B8" t="s">
        <v>797</v>
      </c>
      <c r="C8" s="276">
        <f t="shared" si="0"/>
        <v>220148.13000000003</v>
      </c>
      <c r="D8" s="243"/>
      <c r="E8" s="20">
        <f>'DOE25'!L205+'DOE25'!L223+'DOE25'!L241-F8-G8-H8-D9-D11</f>
        <v>215152.63000000003</v>
      </c>
      <c r="F8" s="244"/>
      <c r="G8" s="53">
        <f>'DOE25'!J205+'DOE25'!J223+'DOE25'!J241</f>
        <v>0</v>
      </c>
      <c r="H8" s="53">
        <f>'DOE25'!K205+'DOE25'!K223+'DOE25'!K241</f>
        <v>4995.5</v>
      </c>
      <c r="I8" s="256"/>
    </row>
    <row r="9" spans="1:9" ht="14.25" x14ac:dyDescent="0.2">
      <c r="A9" s="32">
        <v>2310</v>
      </c>
      <c r="B9" s="185" t="s">
        <v>890</v>
      </c>
      <c r="C9" s="276">
        <f t="shared" si="0"/>
        <v>52217.22</v>
      </c>
      <c r="D9" s="244">
        <v>52217.22</v>
      </c>
      <c r="E9" s="243"/>
      <c r="F9" s="253"/>
      <c r="G9" s="253"/>
      <c r="H9" s="253"/>
      <c r="I9" s="256"/>
    </row>
    <row r="10" spans="1:9" ht="14.25" x14ac:dyDescent="0.2">
      <c r="A10" s="32">
        <v>2317</v>
      </c>
      <c r="B10" s="185" t="s">
        <v>891</v>
      </c>
      <c r="C10" s="276">
        <f t="shared" si="0"/>
        <v>10075</v>
      </c>
      <c r="D10" s="243"/>
      <c r="E10" s="244">
        <v>10075</v>
      </c>
      <c r="F10" s="253"/>
      <c r="G10" s="253"/>
      <c r="H10" s="253"/>
      <c r="I10" s="256"/>
    </row>
    <row r="11" spans="1:9" ht="14.25" x14ac:dyDescent="0.2">
      <c r="A11" s="32">
        <v>2321</v>
      </c>
      <c r="B11" s="185" t="s">
        <v>892</v>
      </c>
      <c r="C11" s="276">
        <f t="shared" si="0"/>
        <v>136871.79</v>
      </c>
      <c r="D11" s="244">
        <v>136871.79</v>
      </c>
      <c r="E11" s="243"/>
      <c r="F11" s="253"/>
      <c r="G11" s="253"/>
      <c r="H11" s="253"/>
      <c r="I11" s="256"/>
    </row>
    <row r="12" spans="1:9" x14ac:dyDescent="0.2">
      <c r="A12" s="32">
        <v>2400</v>
      </c>
      <c r="B12" t="s">
        <v>711</v>
      </c>
      <c r="C12" s="276">
        <f t="shared" si="0"/>
        <v>578118.94999999995</v>
      </c>
      <c r="D12" s="20">
        <f>'DOE25'!L206+'DOE25'!L224+'DOE25'!L242-F12-G12-H12</f>
        <v>566056.92000000004</v>
      </c>
      <c r="E12" s="243"/>
      <c r="F12" s="244"/>
      <c r="G12" s="53">
        <f>'DOE25'!J206+'DOE25'!J224+'DOE25'!J242</f>
        <v>4597.96</v>
      </c>
      <c r="H12" s="53">
        <f>'DOE25'!K206+'DOE25'!K224+'DOE25'!K242</f>
        <v>7464.07</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495801.05000000005</v>
      </c>
      <c r="D14" s="20">
        <f>'DOE25'!L208+'DOE25'!L226+'DOE25'!L244-F14-G14-H14</f>
        <v>445157.22000000003</v>
      </c>
      <c r="E14" s="243"/>
      <c r="F14" s="244"/>
      <c r="G14" s="53">
        <f>'DOE25'!J208+'DOE25'!J226+'DOE25'!J244</f>
        <v>50643.83</v>
      </c>
      <c r="H14" s="53">
        <f>'DOE25'!K208+'DOE25'!K226+'DOE25'!K244</f>
        <v>0</v>
      </c>
      <c r="I14" s="256"/>
    </row>
    <row r="15" spans="1:9" x14ac:dyDescent="0.2">
      <c r="A15" s="32">
        <v>2700</v>
      </c>
      <c r="B15" t="s">
        <v>799</v>
      </c>
      <c r="C15" s="276">
        <f t="shared" si="0"/>
        <v>167405.6</v>
      </c>
      <c r="D15" s="20">
        <f>'DOE25'!L209+'DOE25'!L227+'DOE25'!L245-F15-G15-H15</f>
        <v>60114.600000000006</v>
      </c>
      <c r="E15" s="243"/>
      <c r="F15" s="244">
        <f>132291-25000</f>
        <v>107291</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74877</v>
      </c>
      <c r="D22" s="243"/>
      <c r="E22" s="243"/>
      <c r="F22" s="243"/>
      <c r="G22" s="53">
        <f>'DOE25'!L256+'DOE25'!L337</f>
        <v>74877</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16212.75</v>
      </c>
      <c r="D25" s="243"/>
      <c r="E25" s="243"/>
      <c r="F25" s="255"/>
      <c r="G25" s="253"/>
      <c r="H25" s="253"/>
      <c r="I25" s="254">
        <f>'DOE25'!L261+'DOE25'!L262+'DOE25'!L342+'DOE25'!L343</f>
        <v>16212.75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213633.08000000002</v>
      </c>
      <c r="D29" s="284">
        <f>'DOE25'!L359+'DOE25'!L360+'DOE25'!L361-'DOE25'!I368-F29-G29-H29</f>
        <v>37808.080000000016</v>
      </c>
      <c r="E29" s="243"/>
      <c r="F29" s="244">
        <f>182471.47-25000</f>
        <v>157471.47</v>
      </c>
      <c r="G29" s="53">
        <f>'DOE25'!J359+'DOE25'!J360+'DOE25'!J361</f>
        <v>18353.53</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462107.51000000007</v>
      </c>
      <c r="D31" s="20">
        <f>'DOE25'!L291+'DOE25'!L310+'DOE25'!L329+'DOE25'!L334+'DOE25'!L335+'DOE25'!L336-F31-G31-H31</f>
        <v>420749.90000000008</v>
      </c>
      <c r="E31" s="243"/>
      <c r="F31" s="244"/>
      <c r="G31" s="53">
        <f>'DOE25'!J291+'DOE25'!J310+'DOE25'!J329+'DOE25'!J334+'DOE25'!J335+'DOE25'!J336</f>
        <v>33423.300000000003</v>
      </c>
      <c r="H31" s="53">
        <f>'DOE25'!K291+'DOE25'!K310+'DOE25'!K329+'DOE25'!K334+'DOE25'!K335+'DOE25'!K336</f>
        <v>7934.3099999999995</v>
      </c>
      <c r="I31" s="256"/>
    </row>
    <row r="32" spans="1:9" ht="12" thickBot="1" x14ac:dyDescent="0.25">
      <c r="C32" s="277"/>
      <c r="G32" s="251"/>
      <c r="H32" s="251"/>
      <c r="I32" s="258"/>
    </row>
    <row r="33" spans="1:9" ht="12" thickTop="1" x14ac:dyDescent="0.2">
      <c r="B33" t="s">
        <v>809</v>
      </c>
      <c r="D33" s="245">
        <f t="shared" ref="D33:I33" si="1">SUM(D5:D31)</f>
        <v>5283707.05</v>
      </c>
      <c r="E33" s="245">
        <f t="shared" si="1"/>
        <v>225227.63000000003</v>
      </c>
      <c r="F33" s="245">
        <f t="shared" si="1"/>
        <v>264762.46999999997</v>
      </c>
      <c r="G33" s="245">
        <f t="shared" si="1"/>
        <v>212416.68</v>
      </c>
      <c r="H33" s="245">
        <f t="shared" si="1"/>
        <v>24859.18</v>
      </c>
      <c r="I33" s="245">
        <f t="shared" si="1"/>
        <v>16212.75</v>
      </c>
    </row>
    <row r="35" spans="1:9" ht="12" thickBot="1" x14ac:dyDescent="0.25">
      <c r="B35" s="251" t="s">
        <v>831</v>
      </c>
      <c r="D35" s="252">
        <f>E33</f>
        <v>225227.63000000003</v>
      </c>
      <c r="E35" s="248"/>
    </row>
    <row r="36" spans="1:9" ht="12" thickTop="1" x14ac:dyDescent="0.2">
      <c r="B36" t="s">
        <v>810</v>
      </c>
      <c r="D36" s="20">
        <f>D33</f>
        <v>5283707.05</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view="pageBreakPreview" zoomScale="60" zoomScaleNormal="100" workbookViewId="0">
      <selection activeCell="K19" sqref="K1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NORTHUMBERLAND SD</v>
      </c>
      <c r="B2" s="126">
        <f>'DOE25'!B2</f>
        <v>407</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3482586.5</v>
      </c>
      <c r="G4" s="303">
        <f>'DOE25'!L212+'DOE25'!L291</f>
        <v>3482586.4999999995</v>
      </c>
      <c r="H4" s="337">
        <f>F4-G4</f>
        <v>0</v>
      </c>
      <c r="I4" s="309" t="str">
        <f>IF(H4=0,"","Does not match DOE25 page 7 and 11 Totals!!")</f>
        <v/>
      </c>
      <c r="N4"/>
    </row>
    <row r="5" spans="1:18" x14ac:dyDescent="0.2">
      <c r="A5" s="21" t="s">
        <v>1335</v>
      </c>
      <c r="B5" s="304">
        <f>IFERROR(VLOOKUP(A5,'School Tables'!$C$3:$D$365,2,FALSE),"")</f>
        <v>22905</v>
      </c>
      <c r="C5" s="297" t="str">
        <f>IFERROR(INDEX('School Tables'!$B$3:$B$365,MATCH('School Level Expenditures'!B5,'School Tables'!$D$3:$D$365,0)),"")</f>
        <v>Northumberland</v>
      </c>
      <c r="D5" s="294">
        <v>1782312.42</v>
      </c>
      <c r="E5" s="294">
        <v>368432.77</v>
      </c>
      <c r="F5" s="312">
        <f>D5+E5</f>
        <v>2150745.19</v>
      </c>
      <c r="G5" s="297"/>
      <c r="H5" s="297"/>
      <c r="I5" s="126"/>
      <c r="N5"/>
    </row>
    <row r="6" spans="1:18" x14ac:dyDescent="0.2">
      <c r="A6" s="21" t="s">
        <v>1562</v>
      </c>
      <c r="B6" s="304">
        <f>IFERROR(VLOOKUP(A6,'School Tables'!$C$3:$D$365,2,FALSE),"")</f>
        <v>99999</v>
      </c>
      <c r="C6" s="297" t="str">
        <f>IFERROR(INDEX('School Tables'!$B$3:$B$365,MATCH('School Level Expenditures'!B6,'School Tables'!$D$3:$D$365,0)),"")</f>
        <v>Other District Expenditures</v>
      </c>
      <c r="D6" s="294">
        <v>119770.37</v>
      </c>
      <c r="E6" s="294"/>
      <c r="F6" s="307">
        <f t="shared" ref="F6:F20" si="0">D6+E6</f>
        <v>119770.37</v>
      </c>
      <c r="G6" s="297"/>
      <c r="H6" s="297"/>
      <c r="I6" s="126"/>
      <c r="N6"/>
    </row>
    <row r="7" spans="1:18" x14ac:dyDescent="0.2">
      <c r="A7" s="21" t="s">
        <v>1336</v>
      </c>
      <c r="B7" s="304">
        <f>IFERROR(VLOOKUP(A7,'School Tables'!$C$3:$D$365,2,FALSE),"")</f>
        <v>26600</v>
      </c>
      <c r="C7" s="297" t="str">
        <f>IFERROR(INDEX('School Tables'!$B$3:$B$365,MATCH('School Level Expenditures'!B7,'School Tables'!$D$3:$D$365,0)),"")</f>
        <v>Northumberland</v>
      </c>
      <c r="D7" s="294">
        <v>1173828.97</v>
      </c>
      <c r="E7" s="294">
        <v>38241.97</v>
      </c>
      <c r="F7" s="307">
        <f t="shared" si="0"/>
        <v>1212070.94</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2213131.6</v>
      </c>
      <c r="G36" s="303">
        <f>'DOE25'!L248+'DOE25'!L329</f>
        <v>2213131.6</v>
      </c>
      <c r="H36" s="337">
        <f>F36-G36</f>
        <v>0</v>
      </c>
      <c r="I36" s="309" t="str">
        <f>IF(H36=0,"","Does not match DOE25 page 9 and 13 Totals!!")</f>
        <v/>
      </c>
      <c r="N36"/>
    </row>
    <row r="37" spans="1:14" x14ac:dyDescent="0.2">
      <c r="A37" s="21" t="s">
        <v>1334</v>
      </c>
      <c r="B37" s="304">
        <f>IFERROR(VLOOKUP(A37,'School Tables'!$O$3:$P$118,2,FALSE),"")</f>
        <v>22900</v>
      </c>
      <c r="C37" s="297" t="str">
        <f t="array" ref="C37">IFERROR(INDEX('School Tables'!$N$3:$N$118,MATCH('School Level Expenditures'!B37,'School Tables'!$P$3:$P$118,0)),"")</f>
        <v>Northumberland</v>
      </c>
      <c r="D37" s="294">
        <v>1885992.43</v>
      </c>
      <c r="E37" s="294">
        <v>249252.26</v>
      </c>
      <c r="F37" s="307">
        <f>D37+E37</f>
        <v>2135244.69</v>
      </c>
      <c r="G37" s="297"/>
      <c r="H37" s="297"/>
      <c r="I37" s="126"/>
      <c r="N37"/>
    </row>
    <row r="38" spans="1:14" x14ac:dyDescent="0.2">
      <c r="A38" s="21" t="s">
        <v>1562</v>
      </c>
      <c r="B38" s="304">
        <f>IFERROR(VLOOKUP(A38,'School Tables'!$O$3:$P$118,2,FALSE),"")</f>
        <v>99999</v>
      </c>
      <c r="C38" s="297" t="str">
        <f t="array" ref="C38">IFERROR(INDEX('School Tables'!$N$3:$N$118,MATCH('School Level Expenditures'!B38,'School Tables'!$P$3:$P$118,0)),"")</f>
        <v>Other District Expenditures</v>
      </c>
      <c r="D38" s="294">
        <v>77886.91</v>
      </c>
      <c r="E38" s="294"/>
      <c r="F38" s="307">
        <f t="shared" ref="F38:F41" si="2">D38+E38</f>
        <v>77886.91</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1"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6"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NORTHUMBERLAND SD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232014.34</v>
      </c>
      <c r="D8" s="95">
        <f>'DOE25'!G9</f>
        <v>0</v>
      </c>
      <c r="E8" s="95">
        <f>'DOE25'!H9</f>
        <v>0</v>
      </c>
      <c r="F8" s="95">
        <f>'DOE25'!I9</f>
        <v>0</v>
      </c>
      <c r="G8" s="95">
        <f>'DOE25'!J9</f>
        <v>345757.25</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132918.80000000002</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8229.7900000000009</v>
      </c>
      <c r="D13" s="95">
        <f>'DOE25'!G14</f>
        <v>10944.81</v>
      </c>
      <c r="E13" s="95">
        <f>'DOE25'!H14</f>
        <v>121973.99</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373162.93</v>
      </c>
      <c r="D18" s="41">
        <f>SUM(D8:D17)</f>
        <v>10944.81</v>
      </c>
      <c r="E18" s="41">
        <f>SUM(E8:E17)</f>
        <v>121973.99</v>
      </c>
      <c r="F18" s="41">
        <f>SUM(F8:F17)</f>
        <v>0</v>
      </c>
      <c r="G18" s="41">
        <f>SUM(G8:G17)</f>
        <v>345757.25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10944.81</v>
      </c>
      <c r="E21" s="95">
        <f>'DOE25'!H22</f>
        <v>121973.99</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3850.5499999999997</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3850.5499999999997</v>
      </c>
      <c r="D31" s="41">
        <f>SUM(D21:D30)</f>
        <v>10944.81</v>
      </c>
      <c r="E31" s="41">
        <f>SUM(E21:E30)</f>
        <v>121973.99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345757.25</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349312.38</v>
      </c>
      <c r="D49" s="24" t="s">
        <v>288</v>
      </c>
      <c r="E49" s="24" t="s">
        <v>288</v>
      </c>
      <c r="F49" s="24" t="s">
        <v>288</v>
      </c>
      <c r="G49" s="24" t="s">
        <v>288</v>
      </c>
      <c r="H49" s="124"/>
      <c r="I49" s="124"/>
    </row>
    <row r="50" spans="1:9" ht="12.75" thickTop="1" thickBot="1" x14ac:dyDescent="0.25">
      <c r="A50" s="38" t="s">
        <v>884</v>
      </c>
      <c r="B50" s="48"/>
      <c r="C50" s="41">
        <f>SUM(C34:C49)</f>
        <v>369312.38</v>
      </c>
      <c r="D50" s="41">
        <f>SUM(D34:D49)</f>
        <v>0</v>
      </c>
      <c r="E50" s="41">
        <f>SUM(E34:E49)</f>
        <v>0</v>
      </c>
      <c r="F50" s="41">
        <f>SUM(F34:F49)</f>
        <v>0</v>
      </c>
      <c r="G50" s="41">
        <f>SUM(G34:G49)</f>
        <v>345757.25</v>
      </c>
      <c r="H50" s="124"/>
      <c r="I50" s="124"/>
    </row>
    <row r="51" spans="1:9" ht="12" thickTop="1" x14ac:dyDescent="0.2">
      <c r="A51" s="38" t="s">
        <v>885</v>
      </c>
      <c r="B51" s="2"/>
      <c r="C51" s="41">
        <f>C50+C31</f>
        <v>373162.93</v>
      </c>
      <c r="D51" s="41">
        <f>D50+D31</f>
        <v>10944.81</v>
      </c>
      <c r="E51" s="41">
        <f>E50+E31</f>
        <v>121973.99</v>
      </c>
      <c r="F51" s="41">
        <f>F50+F31</f>
        <v>0</v>
      </c>
      <c r="G51" s="41">
        <f>G50+G31</f>
        <v>345757.25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1472345</v>
      </c>
      <c r="D56" s="95">
        <f>'DOE25'!G60</f>
        <v>0</v>
      </c>
      <c r="E56" s="95">
        <f>'DOE25'!H60</f>
        <v>0</v>
      </c>
      <c r="F56" s="95">
        <f>'DOE25'!I60</f>
        <v>0</v>
      </c>
      <c r="G56" s="95">
        <f>'DOE25'!J60</f>
        <v>0</v>
      </c>
      <c r="H56"/>
      <c r="I56"/>
    </row>
    <row r="57" spans="1:9" x14ac:dyDescent="0.2">
      <c r="A57" s="1" t="s">
        <v>164</v>
      </c>
      <c r="B57" s="6" t="s">
        <v>165</v>
      </c>
      <c r="C57" s="95">
        <f>'DOE25'!F79</f>
        <v>974619.11</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2858.59</v>
      </c>
      <c r="D59" s="95">
        <f>'DOE25'!G96</f>
        <v>0</v>
      </c>
      <c r="E59" s="95">
        <f>'DOE25'!H96</f>
        <v>0</v>
      </c>
      <c r="F59" s="95">
        <f>'DOE25'!I96</f>
        <v>0</v>
      </c>
      <c r="G59" s="95">
        <f>'DOE25'!J96</f>
        <v>5260.23</v>
      </c>
      <c r="H59"/>
      <c r="I59"/>
    </row>
    <row r="60" spans="1:9" x14ac:dyDescent="0.2">
      <c r="A60" s="1" t="s">
        <v>170</v>
      </c>
      <c r="B60" s="118" t="s">
        <v>171</v>
      </c>
      <c r="C60" s="24" t="s">
        <v>288</v>
      </c>
      <c r="D60" s="95">
        <f>'DOE25'!G97</f>
        <v>32329.1</v>
      </c>
      <c r="E60" s="24" t="s">
        <v>288</v>
      </c>
      <c r="F60" s="24" t="s">
        <v>288</v>
      </c>
      <c r="G60" s="24" t="s">
        <v>288</v>
      </c>
      <c r="H60"/>
      <c r="I60"/>
    </row>
    <row r="61" spans="1:9" ht="12" thickBot="1" x14ac:dyDescent="0.25">
      <c r="A61" s="1" t="s">
        <v>172</v>
      </c>
      <c r="B61" s="118" t="s">
        <v>173</v>
      </c>
      <c r="C61" s="95">
        <f>SUM('DOE25'!F98:F110)</f>
        <v>15299.09</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992776.78999999992</v>
      </c>
      <c r="D62" s="130">
        <f>SUM(D57:D61)</f>
        <v>32329.1</v>
      </c>
      <c r="E62" s="130">
        <f>SUM(E57:E61)</f>
        <v>0</v>
      </c>
      <c r="F62" s="130">
        <f>SUM(F57:F61)</f>
        <v>0</v>
      </c>
      <c r="G62" s="130">
        <f>SUM(G57:G61)</f>
        <v>5260.23</v>
      </c>
      <c r="H62"/>
      <c r="I62"/>
    </row>
    <row r="63" spans="1:9" ht="12" thickTop="1" x14ac:dyDescent="0.2">
      <c r="A63" s="29" t="s">
        <v>175</v>
      </c>
      <c r="B63" s="6"/>
      <c r="C63" s="22">
        <f>C56+C62</f>
        <v>2465121.79</v>
      </c>
      <c r="D63" s="22">
        <f>D56+D62</f>
        <v>32329.1</v>
      </c>
      <c r="E63" s="22">
        <f>E56+E62</f>
        <v>0</v>
      </c>
      <c r="F63" s="22">
        <f>F56+F62</f>
        <v>0</v>
      </c>
      <c r="G63" s="22">
        <f>G56+G62</f>
        <v>5260.23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2649213.66</v>
      </c>
      <c r="D66" s="24" t="s">
        <v>288</v>
      </c>
      <c r="E66" s="24" t="s">
        <v>288</v>
      </c>
      <c r="F66" s="24" t="s">
        <v>288</v>
      </c>
      <c r="G66" s="24" t="s">
        <v>288</v>
      </c>
      <c r="H66"/>
      <c r="I66"/>
    </row>
    <row r="67" spans="1:9" x14ac:dyDescent="0.2">
      <c r="A67" s="1" t="s">
        <v>770</v>
      </c>
      <c r="B67" s="6">
        <v>3112</v>
      </c>
      <c r="C67" s="95">
        <f>'DOE25'!F118</f>
        <v>176008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2195.12</v>
      </c>
      <c r="D69" s="95">
        <f>'DOE25'!G120</f>
        <v>0</v>
      </c>
      <c r="E69" s="95">
        <f>'DOE25'!H120</f>
        <v>0</v>
      </c>
      <c r="F69" s="95">
        <f>'DOE25'!I120</f>
        <v>0</v>
      </c>
      <c r="G69" s="95">
        <f>'DOE25'!J120</f>
        <v>0</v>
      </c>
      <c r="H69"/>
      <c r="I69"/>
    </row>
    <row r="70" spans="1:9" ht="12" thickTop="1" x14ac:dyDescent="0.2">
      <c r="A70" s="29" t="s">
        <v>252</v>
      </c>
      <c r="B70" s="2"/>
      <c r="C70" s="139">
        <f>SUM(C66:C69)</f>
        <v>2827416.7800000003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9000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6695.4</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1843.97</v>
      </c>
      <c r="E77" s="95">
        <f>SUM('DOE25'!H131:H135)</f>
        <v>0</v>
      </c>
      <c r="F77" s="95">
        <f>SUM('DOE25'!I131:I135)</f>
        <v>0</v>
      </c>
      <c r="G77" s="95">
        <f>SUM('DOE25'!J131:J135)</f>
        <v>0</v>
      </c>
      <c r="H77"/>
      <c r="I77"/>
    </row>
    <row r="78" spans="1:9" ht="12.75" thickTop="1" thickBot="1" x14ac:dyDescent="0.25">
      <c r="A78" s="29" t="s">
        <v>259</v>
      </c>
      <c r="B78" s="6"/>
      <c r="C78" s="130">
        <f>SUM(C72:C77)</f>
        <v>15695.4</v>
      </c>
      <c r="D78" s="130">
        <f>SUM(D72:D77)</f>
        <v>1843.97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2843112.18</v>
      </c>
      <c r="D81" s="130">
        <f>SUM(D79:D80)+D78+D70</f>
        <v>1843.97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31550.81</v>
      </c>
      <c r="D88" s="341">
        <f>SUM('DOE25'!G153:G162)</f>
        <v>161395.35999999999</v>
      </c>
      <c r="E88" s="341">
        <f>SUM('DOE25'!H153:H162)</f>
        <v>462107.51</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872.86</v>
      </c>
      <c r="D90" s="24" t="s">
        <v>288</v>
      </c>
      <c r="E90" s="24" t="s">
        <v>288</v>
      </c>
      <c r="F90" s="24" t="s">
        <v>288</v>
      </c>
      <c r="G90" s="24" t="s">
        <v>288</v>
      </c>
    </row>
    <row r="91" spans="1:9" ht="12.75" thickTop="1" thickBot="1" x14ac:dyDescent="0.25">
      <c r="A91" s="33" t="s">
        <v>750</v>
      </c>
      <c r="C91" s="131">
        <f>SUM(C85:C90)</f>
        <v>32423.670000000002</v>
      </c>
      <c r="D91" s="131">
        <f>SUM(D85:D90)</f>
        <v>161395.35999999999</v>
      </c>
      <c r="E91" s="131">
        <f>SUM(E85:E90)</f>
        <v>462107.51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1138.77</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18064.650000000001</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1138.77</v>
      </c>
      <c r="D103" s="86">
        <f>SUM(D93:D102)</f>
        <v>18064.650000000001</v>
      </c>
      <c r="E103" s="86">
        <f>SUM(E93:E102)</f>
        <v>0</v>
      </c>
      <c r="F103" s="86">
        <f>SUM(F93:F102)</f>
        <v>0</v>
      </c>
      <c r="G103" s="86">
        <f>SUM(G93:G102)</f>
        <v>0</v>
      </c>
    </row>
    <row r="104" spans="1:7" ht="12.75" thickTop="1" thickBot="1" x14ac:dyDescent="0.25">
      <c r="A104" s="33" t="s">
        <v>761</v>
      </c>
      <c r="C104" s="86">
        <f>C63+C81+C91+C103</f>
        <v>5341796.41</v>
      </c>
      <c r="D104" s="86">
        <f>D63+D81+D91+D103</f>
        <v>213633.08</v>
      </c>
      <c r="E104" s="86">
        <f>E63+E81+E91+E103</f>
        <v>462107.51</v>
      </c>
      <c r="F104" s="86">
        <f>F63+F81+F91+F103</f>
        <v>0</v>
      </c>
      <c r="G104" s="86">
        <f>G63+G81+G103</f>
        <v>5260.23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2230542.79</v>
      </c>
      <c r="D109" s="24" t="s">
        <v>288</v>
      </c>
      <c r="E109" s="95">
        <f>('DOE25'!L277)+('DOE25'!L296)+('DOE25'!L315)</f>
        <v>122187.38</v>
      </c>
      <c r="F109" s="24" t="s">
        <v>288</v>
      </c>
      <c r="G109" s="24" t="s">
        <v>288</v>
      </c>
    </row>
    <row r="110" spans="1:7" x14ac:dyDescent="0.2">
      <c r="A110" t="s">
        <v>198</v>
      </c>
      <c r="B110" s="32" t="s">
        <v>199</v>
      </c>
      <c r="C110" s="95">
        <f>('DOE25'!L199)+('DOE25'!L217)+('DOE25'!L235)</f>
        <v>804646.39</v>
      </c>
      <c r="D110" s="24" t="s">
        <v>288</v>
      </c>
      <c r="E110" s="95">
        <f>('DOE25'!L278)+('DOE25'!L297)+('DOE25'!L316)</f>
        <v>2500.7199999999998</v>
      </c>
      <c r="F110" s="24" t="s">
        <v>288</v>
      </c>
      <c r="G110" s="24" t="s">
        <v>288</v>
      </c>
    </row>
    <row r="111" spans="1:7" x14ac:dyDescent="0.2">
      <c r="A111" t="s">
        <v>200</v>
      </c>
      <c r="B111" s="32" t="s">
        <v>165</v>
      </c>
      <c r="C111" s="95">
        <f>('DOE25'!L200)+('DOE25'!L218)+('DOE25'!L236)</f>
        <v>20605.8</v>
      </c>
      <c r="D111" s="24" t="s">
        <v>288</v>
      </c>
      <c r="E111" s="95">
        <f>('DOE25'!L279)+('DOE25'!L298)+('DOE25'!L317)</f>
        <v>0</v>
      </c>
      <c r="F111" s="24" t="s">
        <v>288</v>
      </c>
      <c r="G111" s="24" t="s">
        <v>288</v>
      </c>
    </row>
    <row r="112" spans="1:7" x14ac:dyDescent="0.2">
      <c r="A112" t="s">
        <v>201</v>
      </c>
      <c r="B112" s="32" t="s">
        <v>167</v>
      </c>
      <c r="C112" s="95">
        <f>('DOE25'!L201)+('DOE25'!L219)+('DOE25'!L237)</f>
        <v>86455.88</v>
      </c>
      <c r="D112" s="24" t="s">
        <v>288</v>
      </c>
      <c r="E112" s="95">
        <f>+('DOE25'!L280)+('DOE25'!L299)+('DOE25'!L318)</f>
        <v>60339.16</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16669.829999999998</v>
      </c>
      <c r="F114" s="24" t="s">
        <v>288</v>
      </c>
      <c r="G114" s="24" t="s">
        <v>288</v>
      </c>
    </row>
    <row r="115" spans="1:7" ht="12.75" thickTop="1" thickBot="1" x14ac:dyDescent="0.25">
      <c r="A115" s="33" t="s">
        <v>205</v>
      </c>
      <c r="C115" s="86">
        <f>SUM(C109:C114)</f>
        <v>3142250.86</v>
      </c>
      <c r="D115" s="86">
        <f>SUM(D109:D114)</f>
        <v>0</v>
      </c>
      <c r="E115" s="86">
        <f>SUM(E109:E114)</f>
        <v>201697.09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365452.24999999994</v>
      </c>
      <c r="D118" s="24" t="s">
        <v>288</v>
      </c>
      <c r="E118" s="95">
        <f>+('DOE25'!L282)+('DOE25'!L301)+('DOE25'!L320)</f>
        <v>220958.75999999998</v>
      </c>
      <c r="F118" s="24" t="s">
        <v>288</v>
      </c>
      <c r="G118" s="24" t="s">
        <v>288</v>
      </c>
    </row>
    <row r="119" spans="1:7" x14ac:dyDescent="0.2">
      <c r="A119" t="s">
        <v>208</v>
      </c>
      <c r="B119" s="32" t="s">
        <v>209</v>
      </c>
      <c r="C119" s="95">
        <f>('DOE25'!L204)+('DOE25'!L222)+('DOE25'!L240)</f>
        <v>92014.57</v>
      </c>
      <c r="D119" s="24" t="s">
        <v>288</v>
      </c>
      <c r="E119" s="95">
        <f>+('DOE25'!L283)+('DOE25'!L302)+('DOE25'!L321)</f>
        <v>25930.460000000003</v>
      </c>
      <c r="F119" s="24" t="s">
        <v>288</v>
      </c>
      <c r="G119" s="24" t="s">
        <v>288</v>
      </c>
    </row>
    <row r="120" spans="1:7" x14ac:dyDescent="0.2">
      <c r="A120" t="s">
        <v>210</v>
      </c>
      <c r="B120" s="32" t="s">
        <v>211</v>
      </c>
      <c r="C120" s="95">
        <f>('DOE25'!L205)+('DOE25'!L223)+('DOE25'!L241)</f>
        <v>409237.14</v>
      </c>
      <c r="D120" s="24" t="s">
        <v>288</v>
      </c>
      <c r="E120" s="95">
        <f>+('DOE25'!L284)+('DOE25'!L303)+('DOE25'!L322)</f>
        <v>0</v>
      </c>
      <c r="F120" s="24" t="s">
        <v>288</v>
      </c>
      <c r="G120" s="24" t="s">
        <v>288</v>
      </c>
    </row>
    <row r="121" spans="1:7" x14ac:dyDescent="0.2">
      <c r="A121" t="s">
        <v>212</v>
      </c>
      <c r="B121" s="32" t="s">
        <v>213</v>
      </c>
      <c r="C121" s="95">
        <f>('DOE25'!L206)+('DOE25'!L224)+('DOE25'!L242)</f>
        <v>578118.94999999995</v>
      </c>
      <c r="D121" s="24" t="s">
        <v>288</v>
      </c>
      <c r="E121" s="95">
        <f>+('DOE25'!L285)+('DOE25'!L304)+('DOE25'!L323)</f>
        <v>13521.2</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495801.05000000005</v>
      </c>
      <c r="D123" s="24" t="s">
        <v>288</v>
      </c>
      <c r="E123" s="95">
        <f>+('DOE25'!L287)+('DOE25'!L306)+('DOE25'!L325)</f>
        <v>0</v>
      </c>
      <c r="F123" s="24" t="s">
        <v>288</v>
      </c>
      <c r="G123" s="24" t="s">
        <v>288</v>
      </c>
    </row>
    <row r="124" spans="1:7" x14ac:dyDescent="0.2">
      <c r="A124" t="s">
        <v>218</v>
      </c>
      <c r="B124" s="32" t="s">
        <v>219</v>
      </c>
      <c r="C124" s="95">
        <f>('DOE25'!L209)+('DOE25'!L227)+('DOE25'!L245+'DOE25'!L255)</f>
        <v>167405.6</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213633.08000000002</v>
      </c>
      <c r="E127" s="24" t="s">
        <v>288</v>
      </c>
      <c r="F127" s="24" t="s">
        <v>288</v>
      </c>
      <c r="G127" s="24" t="s">
        <v>288</v>
      </c>
    </row>
    <row r="128" spans="1:7" ht="12.75" thickTop="1" thickBot="1" x14ac:dyDescent="0.25">
      <c r="A128" s="33" t="s">
        <v>226</v>
      </c>
      <c r="C128" s="86">
        <f>SUM(C118:C127)</f>
        <v>2108029.56</v>
      </c>
      <c r="D128" s="86">
        <f>SUM(D118:D127)</f>
        <v>213633.08000000002</v>
      </c>
      <c r="E128" s="86">
        <f>SUM(E118:E127)</f>
        <v>260410.41999999998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74877</v>
      </c>
      <c r="D130" s="24" t="s">
        <v>288</v>
      </c>
      <c r="E130" s="129">
        <f>'DOE25'!L337</f>
        <v>0</v>
      </c>
      <c r="F130" s="129">
        <f>SUM('DOE25'!L375:'DOE25'!L381)</f>
        <v>0</v>
      </c>
      <c r="G130" s="24" t="s">
        <v>288</v>
      </c>
    </row>
    <row r="131" spans="1:7" x14ac:dyDescent="0.2">
      <c r="A131" t="s">
        <v>229</v>
      </c>
      <c r="B131" s="32">
        <v>5110</v>
      </c>
      <c r="C131" s="95">
        <f>'DOE25'!L261</f>
        <v>15000</v>
      </c>
      <c r="D131" s="24" t="s">
        <v>288</v>
      </c>
      <c r="E131" s="129">
        <f>'DOE25'!L342</f>
        <v>0</v>
      </c>
      <c r="F131" s="24" t="s">
        <v>288</v>
      </c>
      <c r="G131" s="24" t="s">
        <v>288</v>
      </c>
    </row>
    <row r="132" spans="1:7" x14ac:dyDescent="0.2">
      <c r="A132" t="s">
        <v>230</v>
      </c>
      <c r="B132" s="32">
        <v>5120</v>
      </c>
      <c r="C132" s="95">
        <f>'DOE25'!L262</f>
        <v>1212.75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18064.650000000001</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5260.23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-5260.23</v>
      </c>
      <c r="D141" s="24" t="s">
        <v>288</v>
      </c>
      <c r="E141" s="24" t="s">
        <v>288</v>
      </c>
      <c r="F141" s="24" t="s">
        <v>288</v>
      </c>
      <c r="G141" s="24" t="s">
        <v>288</v>
      </c>
    </row>
    <row r="142" spans="1:7" x14ac:dyDescent="0.2">
      <c r="A142" t="s">
        <v>241</v>
      </c>
      <c r="B142" s="32">
        <v>5310</v>
      </c>
      <c r="C142" s="129">
        <f>'DOE25'!L269</f>
        <v>23980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133134.39999999999</v>
      </c>
      <c r="D144" s="141">
        <f>SUM(D130:D143)</f>
        <v>0</v>
      </c>
      <c r="E144" s="141">
        <f>SUM(E130:E143)</f>
        <v>0</v>
      </c>
      <c r="F144" s="141">
        <f>SUM(F130:F143)</f>
        <v>0</v>
      </c>
      <c r="G144" s="141">
        <f>SUM(G130:G143)</f>
        <v>0</v>
      </c>
    </row>
    <row r="145" spans="1:9" ht="12.75" thickTop="1" thickBot="1" x14ac:dyDescent="0.25">
      <c r="A145" s="33" t="s">
        <v>244</v>
      </c>
      <c r="C145" s="86">
        <f>(C115+C128+C144)</f>
        <v>5383414.8200000003</v>
      </c>
      <c r="D145" s="86">
        <f>(D115+D128+D144)</f>
        <v>213633.08000000002</v>
      </c>
      <c r="E145" s="86">
        <f>(E115+E128+E144)</f>
        <v>462107.51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0</v>
      </c>
      <c r="D151" s="153">
        <f>'DOE25'!H491</f>
        <v>0</v>
      </c>
      <c r="E151" s="153">
        <f>'DOE25'!I491</f>
        <v>0</v>
      </c>
      <c r="F151" s="153">
        <f>'DOE25'!J491</f>
        <v>0</v>
      </c>
      <c r="G151" s="24" t="s">
        <v>288</v>
      </c>
    </row>
    <row r="152" spans="1:9" x14ac:dyDescent="0.2">
      <c r="A152" s="136" t="s">
        <v>28</v>
      </c>
      <c r="B152" s="152" t="str">
        <f>'DOE25'!F492</f>
        <v>9/10</v>
      </c>
      <c r="C152" s="152">
        <f>'DOE25'!G492</f>
        <v>0</v>
      </c>
      <c r="D152" s="152">
        <f>'DOE25'!H492</f>
        <v>0</v>
      </c>
      <c r="E152" s="152">
        <f>'DOE25'!I492</f>
        <v>0</v>
      </c>
      <c r="F152" s="152">
        <f>'DOE25'!J492</f>
        <v>0</v>
      </c>
      <c r="G152" s="24" t="s">
        <v>288</v>
      </c>
    </row>
    <row r="153" spans="1:9" x14ac:dyDescent="0.2">
      <c r="A153" s="136" t="s">
        <v>29</v>
      </c>
      <c r="B153" s="152" t="str">
        <f>'DOE25'!F493</f>
        <v>9/20</v>
      </c>
      <c r="C153" s="152">
        <f>'DOE25'!G493</f>
        <v>0</v>
      </c>
      <c r="D153" s="152">
        <f>'DOE25'!H493</f>
        <v>0</v>
      </c>
      <c r="E153" s="152">
        <f>'DOE25'!I493</f>
        <v>0</v>
      </c>
      <c r="F153" s="152">
        <f>'DOE25'!J493</f>
        <v>0</v>
      </c>
      <c r="G153" s="24" t="s">
        <v>288</v>
      </c>
    </row>
    <row r="154" spans="1:9" x14ac:dyDescent="0.2">
      <c r="A154" s="136" t="s">
        <v>30</v>
      </c>
      <c r="B154" s="137">
        <f>'DOE25'!F494</f>
        <v>225501.31</v>
      </c>
      <c r="C154" s="137">
        <f>'DOE25'!G494</f>
        <v>0</v>
      </c>
      <c r="D154" s="137">
        <f>'DOE25'!H494</f>
        <v>0</v>
      </c>
      <c r="E154" s="137">
        <f>'DOE25'!I494</f>
        <v>0</v>
      </c>
      <c r="F154" s="137">
        <f>'DOE25'!J494</f>
        <v>0</v>
      </c>
      <c r="G154" s="24" t="s">
        <v>288</v>
      </c>
    </row>
    <row r="155" spans="1:9" x14ac:dyDescent="0.2">
      <c r="A155" s="136" t="s">
        <v>31</v>
      </c>
      <c r="B155" s="137">
        <f>'DOE25'!F495</f>
        <v>5.39</v>
      </c>
      <c r="C155" s="137">
        <f>'DOE25'!G495</f>
        <v>0</v>
      </c>
      <c r="D155" s="137">
        <f>'DOE25'!H495</f>
        <v>0</v>
      </c>
      <c r="E155" s="137">
        <f>'DOE25'!I495</f>
        <v>0</v>
      </c>
      <c r="F155" s="137">
        <f>'DOE25'!J495</f>
        <v>0</v>
      </c>
      <c r="G155" s="24" t="s">
        <v>288</v>
      </c>
    </row>
    <row r="156" spans="1:9" x14ac:dyDescent="0.2">
      <c r="A156" s="22" t="s">
        <v>32</v>
      </c>
      <c r="B156" s="137">
        <f>'DOE25'!F496</f>
        <v>30000</v>
      </c>
      <c r="C156" s="137">
        <f>'DOE25'!G496</f>
        <v>0</v>
      </c>
      <c r="D156" s="137">
        <f>'DOE25'!H496</f>
        <v>0</v>
      </c>
      <c r="E156" s="137">
        <f>'DOE25'!I496</f>
        <v>0</v>
      </c>
      <c r="F156" s="137">
        <f>'DOE25'!J496</f>
        <v>0</v>
      </c>
      <c r="G156" s="138">
        <f>SUM(B156:F156)</f>
        <v>30000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16212.75</v>
      </c>
      <c r="C158" s="137">
        <f>'DOE25'!G498</f>
        <v>0</v>
      </c>
      <c r="D158" s="137">
        <f>'DOE25'!H498</f>
        <v>0</v>
      </c>
      <c r="E158" s="137">
        <f>'DOE25'!I498</f>
        <v>0</v>
      </c>
      <c r="F158" s="137">
        <f>'DOE25'!J498</f>
        <v>0</v>
      </c>
      <c r="G158" s="138">
        <f t="shared" si="0"/>
        <v>16212.75</v>
      </c>
    </row>
    <row r="159" spans="1:9" x14ac:dyDescent="0.2">
      <c r="A159" s="22" t="s">
        <v>35</v>
      </c>
      <c r="B159" s="137">
        <f>'DOE25'!F499</f>
        <v>15000</v>
      </c>
      <c r="C159" s="137">
        <f>'DOE25'!G499</f>
        <v>0</v>
      </c>
      <c r="D159" s="137">
        <f>'DOE25'!H499</f>
        <v>0</v>
      </c>
      <c r="E159" s="137">
        <f>'DOE25'!I499</f>
        <v>0</v>
      </c>
      <c r="F159" s="137">
        <f>'DOE25'!J499</f>
        <v>0</v>
      </c>
      <c r="G159" s="138">
        <f t="shared" si="0"/>
        <v>15000</v>
      </c>
    </row>
    <row r="160" spans="1:9" x14ac:dyDescent="0.2">
      <c r="A160" s="22" t="s">
        <v>36</v>
      </c>
      <c r="B160" s="137">
        <f>'DOE25'!F500</f>
        <v>404.25</v>
      </c>
      <c r="C160" s="137">
        <f>'DOE25'!G500</f>
        <v>0</v>
      </c>
      <c r="D160" s="137">
        <f>'DOE25'!H500</f>
        <v>0</v>
      </c>
      <c r="E160" s="137">
        <f>'DOE25'!I500</f>
        <v>0</v>
      </c>
      <c r="F160" s="137">
        <f>'DOE25'!J500</f>
        <v>0</v>
      </c>
      <c r="G160" s="138">
        <f t="shared" si="0"/>
        <v>404.25</v>
      </c>
    </row>
    <row r="161" spans="1:7" x14ac:dyDescent="0.2">
      <c r="A161" s="22" t="s">
        <v>37</v>
      </c>
      <c r="B161" s="137">
        <f>'DOE25'!F501</f>
        <v>15404.25</v>
      </c>
      <c r="C161" s="137">
        <f>'DOE25'!G501</f>
        <v>0</v>
      </c>
      <c r="D161" s="137">
        <f>'DOE25'!H501</f>
        <v>0</v>
      </c>
      <c r="E161" s="137">
        <f>'DOE25'!I501</f>
        <v>0</v>
      </c>
      <c r="F161" s="137">
        <f>'DOE25'!J501</f>
        <v>0</v>
      </c>
      <c r="G161" s="138">
        <f t="shared" si="0"/>
        <v>15404.25</v>
      </c>
    </row>
    <row r="162" spans="1:7" x14ac:dyDescent="0.2">
      <c r="A162" s="22" t="s">
        <v>38</v>
      </c>
      <c r="B162" s="137">
        <f>'DOE25'!F502</f>
        <v>15000</v>
      </c>
      <c r="C162" s="137">
        <f>'DOE25'!G502</f>
        <v>0</v>
      </c>
      <c r="D162" s="137">
        <f>'DOE25'!H502</f>
        <v>0</v>
      </c>
      <c r="E162" s="137">
        <f>'DOE25'!I502</f>
        <v>0</v>
      </c>
      <c r="F162" s="137">
        <f>'DOE25'!J502</f>
        <v>0</v>
      </c>
      <c r="G162" s="138">
        <f t="shared" si="0"/>
        <v>15000</v>
      </c>
    </row>
    <row r="163" spans="1:7" x14ac:dyDescent="0.2">
      <c r="A163" s="22" t="s">
        <v>39</v>
      </c>
      <c r="B163" s="137">
        <f>'DOE25'!F503</f>
        <v>404.25</v>
      </c>
      <c r="C163" s="137">
        <f>'DOE25'!G503</f>
        <v>0</v>
      </c>
      <c r="D163" s="137">
        <f>'DOE25'!H503</f>
        <v>0</v>
      </c>
      <c r="E163" s="137">
        <f>'DOE25'!I503</f>
        <v>0</v>
      </c>
      <c r="F163" s="137">
        <f>'DOE25'!J503</f>
        <v>0</v>
      </c>
      <c r="G163" s="138">
        <f t="shared" si="0"/>
        <v>404.25</v>
      </c>
    </row>
    <row r="164" spans="1:7" x14ac:dyDescent="0.2">
      <c r="A164" s="22" t="s">
        <v>246</v>
      </c>
      <c r="B164" s="137">
        <f>'DOE25'!F504</f>
        <v>15404.25</v>
      </c>
      <c r="C164" s="137">
        <f>'DOE25'!G504</f>
        <v>0</v>
      </c>
      <c r="D164" s="137">
        <f>'DOE25'!H504</f>
        <v>0</v>
      </c>
      <c r="E164" s="137">
        <f>'DOE25'!I504</f>
        <v>0</v>
      </c>
      <c r="F164" s="137">
        <f>'DOE25'!J504</f>
        <v>0</v>
      </c>
      <c r="G164" s="138">
        <f t="shared" si="0"/>
        <v>15404.25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D2" sqref="D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NORTHUMBERLAND SD</v>
      </c>
    </row>
    <row r="3" spans="1:4" x14ac:dyDescent="0.2">
      <c r="B3" s="188" t="s">
        <v>1587</v>
      </c>
    </row>
    <row r="4" spans="1:4" x14ac:dyDescent="0.2">
      <c r="B4" t="s">
        <v>61</v>
      </c>
      <c r="C4" s="179">
        <f>IF('DOE25'!F666+'DOE25'!F671=0,0,ROUND('DOE25'!F673,0))</f>
        <v>16007</v>
      </c>
    </row>
    <row r="5" spans="1:4" x14ac:dyDescent="0.2">
      <c r="B5" t="s">
        <v>700</v>
      </c>
      <c r="C5" s="179">
        <f>IF('DOE25'!G666+'DOE25'!G671=0,0,ROUND('DOE25'!G673,0))</f>
        <v>0</v>
      </c>
    </row>
    <row r="6" spans="1:4" x14ac:dyDescent="0.2">
      <c r="B6" t="s">
        <v>62</v>
      </c>
      <c r="C6" s="179">
        <f>IF('DOE25'!H666+'DOE25'!H671=0,0,ROUND('DOE25'!H673,0))</f>
        <v>16829</v>
      </c>
    </row>
    <row r="7" spans="1:4" x14ac:dyDescent="0.2">
      <c r="B7" t="s">
        <v>701</v>
      </c>
      <c r="C7" s="179">
        <f>IF('DOE25'!I666+'DOE25'!I671=0,0,ROUND('DOE25'!I673,0))</f>
        <v>16310</v>
      </c>
    </row>
    <row r="9" spans="1:4" x14ac:dyDescent="0.2">
      <c r="A9" s="187" t="s">
        <v>94</v>
      </c>
      <c r="B9" s="188" t="s">
        <v>1588</v>
      </c>
      <c r="C9" s="181" t="s">
        <v>720</v>
      </c>
      <c r="D9" s="181" t="s">
        <v>721</v>
      </c>
    </row>
    <row r="10" spans="1:4" x14ac:dyDescent="0.2">
      <c r="A10">
        <v>1100</v>
      </c>
      <c r="B10" t="s">
        <v>702</v>
      </c>
      <c r="C10" s="179">
        <f>ROUND('DOE25'!L198+'DOE25'!L216+'DOE25'!L234+'DOE25'!L277+'DOE25'!L296+'DOE25'!L315,0)</f>
        <v>2352730</v>
      </c>
      <c r="D10" s="182">
        <f>ROUND((C10/$C$28)*100,1)</f>
        <v>39.700000000000003</v>
      </c>
    </row>
    <row r="11" spans="1:4" x14ac:dyDescent="0.2">
      <c r="A11">
        <v>1200</v>
      </c>
      <c r="B11" t="s">
        <v>703</v>
      </c>
      <c r="C11" s="179">
        <f>ROUND('DOE25'!L199+'DOE25'!L217+'DOE25'!L235+'DOE25'!L278+'DOE25'!L297+'DOE25'!L316,0)</f>
        <v>807147</v>
      </c>
      <c r="D11" s="182">
        <f>ROUND((C11/$C$28)*100,1)</f>
        <v>13.6</v>
      </c>
    </row>
    <row r="12" spans="1:4" x14ac:dyDescent="0.2">
      <c r="A12">
        <v>1300</v>
      </c>
      <c r="B12" t="s">
        <v>704</v>
      </c>
      <c r="C12" s="179">
        <f>ROUND('DOE25'!L200+'DOE25'!L218+'DOE25'!L236+'DOE25'!L279+'DOE25'!L298+'DOE25'!L317,0)</f>
        <v>20606</v>
      </c>
      <c r="D12" s="182">
        <f>ROUND((C12/$C$28)*100,1)</f>
        <v>0.3</v>
      </c>
    </row>
    <row r="13" spans="1:4" x14ac:dyDescent="0.2">
      <c r="A13">
        <v>1400</v>
      </c>
      <c r="B13" t="s">
        <v>705</v>
      </c>
      <c r="C13" s="179">
        <f>ROUND('DOE25'!L201+'DOE25'!L219+'DOE25'!L237+'DOE25'!L280+'DOE25'!L299+'DOE25'!L318,0)</f>
        <v>146795</v>
      </c>
      <c r="D13" s="182">
        <f>ROUND((C13/$C$28)*100,1)</f>
        <v>2.5</v>
      </c>
    </row>
    <row r="14" spans="1:4" x14ac:dyDescent="0.2">
      <c r="D14" s="182"/>
    </row>
    <row r="15" spans="1:4" x14ac:dyDescent="0.2">
      <c r="A15">
        <v>2100</v>
      </c>
      <c r="B15" t="s">
        <v>706</v>
      </c>
      <c r="C15" s="179">
        <f>ROUND('DOE25'!L203+'DOE25'!L221+'DOE25'!L239+'DOE25'!L282+'DOE25'!L301+'DOE25'!L320,0)</f>
        <v>586411</v>
      </c>
      <c r="D15" s="182">
        <f t="shared" ref="D15:D27" si="0">ROUND((C15/$C$28)*100,1)</f>
        <v>9.9</v>
      </c>
    </row>
    <row r="16" spans="1:4" x14ac:dyDescent="0.2">
      <c r="A16">
        <v>2200</v>
      </c>
      <c r="B16" t="s">
        <v>707</v>
      </c>
      <c r="C16" s="179">
        <f>ROUND('DOE25'!L204+'DOE25'!L222+'DOE25'!L240+'DOE25'!L283+'DOE25'!L302+'DOE25'!L321,0)</f>
        <v>117945</v>
      </c>
      <c r="D16" s="182">
        <f t="shared" si="0"/>
        <v>2</v>
      </c>
    </row>
    <row r="17" spans="1:4" x14ac:dyDescent="0.2">
      <c r="A17" s="183" t="s">
        <v>723</v>
      </c>
      <c r="B17" t="s">
        <v>738</v>
      </c>
      <c r="C17" s="179">
        <f>ROUND('DOE25'!L205+'DOE25'!L210+'DOE25'!L223+'DOE25'!L228+'DOE25'!L241+'DOE25'!L246+'DOE25'!L284+'DOE25'!L289+'DOE25'!L303+'DOE25'!L308+'DOE25'!L322+'DOE25'!L327,0)</f>
        <v>409237</v>
      </c>
      <c r="D17" s="182">
        <f t="shared" si="0"/>
        <v>6.9</v>
      </c>
    </row>
    <row r="18" spans="1:4" x14ac:dyDescent="0.2">
      <c r="A18">
        <v>2400</v>
      </c>
      <c r="B18" t="s">
        <v>711</v>
      </c>
      <c r="C18" s="179">
        <f>ROUND('DOE25'!L206+'DOE25'!L224+'DOE25'!L242+'DOE25'!L285+'DOE25'!L304+'DOE25'!L323,0)</f>
        <v>591640</v>
      </c>
      <c r="D18" s="182">
        <f t="shared" si="0"/>
        <v>10</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495801</v>
      </c>
      <c r="D20" s="182">
        <f t="shared" si="0"/>
        <v>8.4</v>
      </c>
    </row>
    <row r="21" spans="1:4" x14ac:dyDescent="0.2">
      <c r="A21">
        <v>2700</v>
      </c>
      <c r="B21" t="s">
        <v>710</v>
      </c>
      <c r="C21" s="179">
        <f>ROUND('DOE25'!L209+'DOE25'!L227+'DOE25'!L245+'DOE25'!L288+'DOE25'!L307+'DOE25'!L326,0)</f>
        <v>167406</v>
      </c>
      <c r="D21" s="182">
        <f t="shared" si="0"/>
        <v>2.8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16670</v>
      </c>
      <c r="D24" s="182">
        <f t="shared" si="0"/>
        <v>0.3</v>
      </c>
    </row>
    <row r="25" spans="1:4" x14ac:dyDescent="0.2">
      <c r="A25">
        <v>5120</v>
      </c>
      <c r="B25" t="s">
        <v>716</v>
      </c>
      <c r="C25" s="179">
        <f>ROUND('DOE25'!L262+'DOE25'!L343,0)</f>
        <v>1213</v>
      </c>
      <c r="D25" s="182">
        <f t="shared" si="0"/>
        <v>0</v>
      </c>
    </row>
    <row r="26" spans="1:4" x14ac:dyDescent="0.2">
      <c r="A26" s="183" t="s">
        <v>717</v>
      </c>
      <c r="B26" t="s">
        <v>718</v>
      </c>
      <c r="C26" s="179">
        <f>'DOE25'!L269+'DOE25'!L270+'DOE25'!L350+'DOE25'!L351</f>
        <v>23980</v>
      </c>
      <c r="D26" s="182">
        <f t="shared" si="0"/>
        <v>0.4</v>
      </c>
    </row>
    <row r="27" spans="1:4" x14ac:dyDescent="0.2">
      <c r="A27">
        <v>3100</v>
      </c>
      <c r="B27" t="s">
        <v>11</v>
      </c>
      <c r="C27" s="179">
        <f>ROUND('DOE25'!L363-'DOE25'!L362,0)-SUM('DOE25'!G97:G110)</f>
        <v>181303.9</v>
      </c>
      <c r="D27" s="182">
        <f t="shared" si="0"/>
        <v>3.1</v>
      </c>
    </row>
    <row r="28" spans="1:4" x14ac:dyDescent="0.2">
      <c r="B28" s="187" t="s">
        <v>719</v>
      </c>
      <c r="C28" s="180">
        <f>SUM(C10:C27)</f>
        <v>5918884.9000000004</v>
      </c>
      <c r="D28" s="184">
        <f>ROUND(SUM(D10:D27),0)</f>
        <v>100</v>
      </c>
    </row>
    <row r="29" spans="1:4" x14ac:dyDescent="0.2">
      <c r="A29">
        <v>4000</v>
      </c>
      <c r="B29" t="s">
        <v>724</v>
      </c>
      <c r="C29" s="179">
        <f>ROUND('DOE25'!L256+'DOE25'!L337+'DOE25'!L375+'DOE25'!L376+'DOE25'!L377+'DOE25'!L378+'DOE25'!L379+'DOE25'!L380+'DOE25'!L381,0)</f>
        <v>74877</v>
      </c>
    </row>
    <row r="30" spans="1:4" x14ac:dyDescent="0.2">
      <c r="B30" s="187" t="s">
        <v>725</v>
      </c>
      <c r="C30" s="180">
        <f>SUM(C28:C29)</f>
        <v>5993761.9000000004</v>
      </c>
    </row>
    <row r="31" spans="1:4" x14ac:dyDescent="0.2">
      <c r="B31" s="33"/>
      <c r="C31" s="180"/>
    </row>
    <row r="32" spans="1:4" x14ac:dyDescent="0.2">
      <c r="A32">
        <v>5100</v>
      </c>
      <c r="B32" s="33" t="s">
        <v>726</v>
      </c>
      <c r="C32" s="180">
        <f>ROUND('DOE25'!L261+'DOE25'!L342,0)</f>
        <v>15000</v>
      </c>
    </row>
    <row r="34" spans="1:4" x14ac:dyDescent="0.2">
      <c r="A34" s="187" t="s">
        <v>94</v>
      </c>
      <c r="B34" s="188" t="s">
        <v>1589</v>
      </c>
      <c r="C34" s="181" t="s">
        <v>720</v>
      </c>
      <c r="D34" s="181" t="s">
        <v>721</v>
      </c>
    </row>
    <row r="35" spans="1:4" x14ac:dyDescent="0.2">
      <c r="A35">
        <v>1100</v>
      </c>
      <c r="B35" s="185" t="s">
        <v>727</v>
      </c>
      <c r="C35" s="179">
        <f>ROUND('DOE25'!F60+'DOE25'!G60+'DOE25'!H60+'DOE25'!I60+'DOE25'!J60,0)</f>
        <v>1472345</v>
      </c>
      <c r="D35" s="182">
        <f t="shared" ref="D35:D40" si="1">ROUND((C35/$C$41)*100,1)</f>
        <v>24.7</v>
      </c>
    </row>
    <row r="36" spans="1:4" x14ac:dyDescent="0.2">
      <c r="B36" s="185" t="s">
        <v>739</v>
      </c>
      <c r="C36" s="179">
        <f>SUM('DOE25'!F112:J112)-SUM('DOE25'!G97:G110)+('DOE25'!F175+'DOE25'!F176+'DOE25'!I175+'DOE25'!I176)-C35</f>
        <v>999175.79</v>
      </c>
      <c r="D36" s="182">
        <f t="shared" si="1"/>
        <v>16.7</v>
      </c>
    </row>
    <row r="37" spans="1:4" x14ac:dyDescent="0.2">
      <c r="A37" s="183" t="s">
        <v>835</v>
      </c>
      <c r="B37" s="185" t="s">
        <v>728</v>
      </c>
      <c r="C37" s="179">
        <f>ROUND('DOE25'!F117+'DOE25'!F118,0)</f>
        <v>2825222</v>
      </c>
      <c r="D37" s="182">
        <f t="shared" si="1"/>
        <v>47.3</v>
      </c>
    </row>
    <row r="38" spans="1:4" x14ac:dyDescent="0.2">
      <c r="A38" s="183" t="s">
        <v>734</v>
      </c>
      <c r="B38" s="185" t="s">
        <v>729</v>
      </c>
      <c r="C38" s="179">
        <f>ROUND(SUM('DOE25'!F140:J140)-SUM('DOE25'!F117:F119),0)</f>
        <v>19734</v>
      </c>
      <c r="D38" s="182">
        <f t="shared" si="1"/>
        <v>0.3</v>
      </c>
    </row>
    <row r="39" spans="1:4" x14ac:dyDescent="0.2">
      <c r="A39">
        <v>4000</v>
      </c>
      <c r="B39" s="185" t="s">
        <v>730</v>
      </c>
      <c r="C39" s="179">
        <f>ROUND('DOE25'!F170+'DOE25'!G170+'DOE25'!H170+'DOE25'!I170,0)</f>
        <v>655927</v>
      </c>
      <c r="D39" s="182">
        <f t="shared" si="1"/>
        <v>11</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5972403.79</v>
      </c>
      <c r="D41" s="184">
        <f>SUM(D35:D40)</f>
        <v>99.999999999999986</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NORTHUMBERLAND SD</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2020-11-20T15:40:14Z</cp:lastPrinted>
  <dcterms:created xsi:type="dcterms:W3CDTF">1997-12-04T19:04:30Z</dcterms:created>
  <dcterms:modified xsi:type="dcterms:W3CDTF">2020-12-11T15:58:09Z</dcterms:modified>
</cp:coreProperties>
</file>