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66" i="1" l="1"/>
  <c r="G460" i="1" l="1"/>
  <c r="G441" i="1"/>
  <c r="H369" i="1" l="1"/>
  <c r="I361" i="1"/>
  <c r="I401" i="1"/>
  <c r="F46" i="1" l="1"/>
  <c r="F50"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H60" i="1"/>
  <c r="I60" i="1"/>
  <c r="F79" i="1"/>
  <c r="C57" i="2" s="1"/>
  <c r="F94" i="1"/>
  <c r="C58" i="2" s="1"/>
  <c r="F111" i="1"/>
  <c r="G111" i="1"/>
  <c r="H79" i="1"/>
  <c r="H94" i="1"/>
  <c r="H111" i="1"/>
  <c r="I111" i="1"/>
  <c r="I112" i="1" s="1"/>
  <c r="J111" i="1"/>
  <c r="J112" i="1" s="1"/>
  <c r="F121" i="1"/>
  <c r="F136" i="1"/>
  <c r="G121" i="1"/>
  <c r="G136" i="1"/>
  <c r="H121" i="1"/>
  <c r="H136" i="1"/>
  <c r="I121" i="1"/>
  <c r="I136" i="1"/>
  <c r="J121" i="1"/>
  <c r="J140" i="1" s="1"/>
  <c r="J136" i="1"/>
  <c r="F147" i="1"/>
  <c r="F170" i="1" s="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C119" i="2"/>
  <c r="E120" i="2"/>
  <c r="E123" i="2"/>
  <c r="E124" i="2"/>
  <c r="C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F409" i="1" s="1"/>
  <c r="H644" i="1" s="1"/>
  <c r="G394" i="1"/>
  <c r="H394" i="1"/>
  <c r="I394" i="1"/>
  <c r="F402" i="1"/>
  <c r="G402" i="1"/>
  <c r="H402" i="1"/>
  <c r="I402" i="1"/>
  <c r="F408" i="1"/>
  <c r="G408" i="1"/>
  <c r="H408" i="1"/>
  <c r="I408" i="1"/>
  <c r="H409" i="1"/>
  <c r="H645"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J652" i="1" s="1"/>
  <c r="G653" i="1"/>
  <c r="H653" i="1"/>
  <c r="G654" i="1"/>
  <c r="H654" i="1"/>
  <c r="G655" i="1"/>
  <c r="H655" i="1"/>
  <c r="H656" i="1"/>
  <c r="J656" i="1" s="1"/>
  <c r="A40" i="12"/>
  <c r="I170" i="1"/>
  <c r="H140" i="1"/>
  <c r="G477" i="1" l="1"/>
  <c r="I409" i="1"/>
  <c r="G339" i="1"/>
  <c r="G353" i="1" s="1"/>
  <c r="E119" i="2"/>
  <c r="A31" i="12"/>
  <c r="E110" i="2"/>
  <c r="E125" i="2"/>
  <c r="E128" i="2" s="1"/>
  <c r="G662" i="1"/>
  <c r="C32" i="10"/>
  <c r="L257" i="1"/>
  <c r="C20" i="10"/>
  <c r="D6" i="13"/>
  <c r="C6" i="13" s="1"/>
  <c r="C12" i="10"/>
  <c r="C13" i="10"/>
  <c r="C110" i="2"/>
  <c r="J258" i="1"/>
  <c r="D15" i="13"/>
  <c r="C15" i="13" s="1"/>
  <c r="C121" i="2"/>
  <c r="C120" i="2"/>
  <c r="F258" i="1"/>
  <c r="F272" i="1" s="1"/>
  <c r="C11" i="10"/>
  <c r="E112" i="2"/>
  <c r="H477" i="1"/>
  <c r="H625" i="1" s="1"/>
  <c r="J625" i="1" s="1"/>
  <c r="K339" i="1"/>
  <c r="K353" i="1" s="1"/>
  <c r="C91" i="2"/>
  <c r="E13" i="13"/>
  <c r="C13" i="13" s="1"/>
  <c r="G409" i="1"/>
  <c r="H646" i="1" s="1"/>
  <c r="H112" i="1"/>
  <c r="H194" i="1" s="1"/>
  <c r="G630" i="1" s="1"/>
  <c r="J630" i="1" s="1"/>
  <c r="L402" i="1"/>
  <c r="C139" i="2" s="1"/>
  <c r="H462" i="1"/>
  <c r="H642" i="1" s="1"/>
  <c r="D50" i="2"/>
  <c r="G553" i="1"/>
  <c r="F339" i="1"/>
  <c r="F353" i="1" s="1"/>
  <c r="J642" i="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H661" i="1" s="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C141" i="2" l="1"/>
  <c r="C144" i="2" s="1"/>
  <c r="G36" i="14"/>
  <c r="H36" i="14" s="1"/>
  <c r="I36" i="14" s="1"/>
  <c r="E115" i="2"/>
  <c r="E145" i="2" s="1"/>
  <c r="E51" i="2"/>
  <c r="H665" i="1"/>
  <c r="H668" i="1" s="1"/>
  <c r="D51" i="2"/>
  <c r="F194" i="1"/>
  <c r="G628" i="1" s="1"/>
  <c r="J628" i="1" s="1"/>
  <c r="H649" i="1"/>
  <c r="C81" i="2"/>
  <c r="F661" i="1"/>
  <c r="F665" i="1" s="1"/>
  <c r="F668" i="1" s="1"/>
  <c r="F51"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H673" i="1" l="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<sst xmlns="http://schemas.openxmlformats.org/spreadsheetml/2006/main" count="5552" uniqueCount="1648">
  <si>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</si>
  <si>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</si>
  <si>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</si>
  <si>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</si>
  <si>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</si>
  <si>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</si>
  <si>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</si>
  <si>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</si>
  <si>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</si>
  <si>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</si>
  <si>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</si>
  <si>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</si>
  <si>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</si>
  <si>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</si>
  <si>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</si>
  <si>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</si>
  <si>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</si>
  <si>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</si>
  <si>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</si>
  <si>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</si>
  <si>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</si>
  <si>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</si>
  <si>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</si>
  <si>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</si>
  <si>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</si>
  <si>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</si>
  <si>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</si>
  <si>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</si>
  <si>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</si>
  <si>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</si>
  <si>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</si>
  <si>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</si>
  <si>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</si>
  <si>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</si>
  <si>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</si>
  <si>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</si>
  <si>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</si>
  <si>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</si>
  <si>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</si>
  <si>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</si>
  <si>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</si>
  <si>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</si>
  <si>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</si>
  <si>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</si>
  <si>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</si>
  <si>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</si>
  <si>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</si>
  <si>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</si>
  <si>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</si>
  <si>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</si>
  <si>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</si>
  <si>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</si>
  <si>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</si>
  <si>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</si>
  <si>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</si>
  <si>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</si>
  <si>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</si>
  <si>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</si>
  <si>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</si>
  <si>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</si>
  <si>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</si>
  <si>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</si>
  <si>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</si>
  <si>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</si>
  <si>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</si>
  <si>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</si>
  <si>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</si>
  <si>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</si>
  <si>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</si>
  <si>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</si>
  <si>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</si>
  <si>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</si>
  <si>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</si>
  <si>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</si>
  <si>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</si>
  <si>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</si>
  <si>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</si>
  <si>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</si>
  <si>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</si>
  <si>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</si>
  <si>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</si>
  <si>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</si>
  <si>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</si>
  <si>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</si>
  <si>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</si>
  <si>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</si>
  <si>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</si>
  <si>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</si>
  <si>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</si>
  <si>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</si>
  <si>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</si>
  <si>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</si>
  <si>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</si>
  <si>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</si>
  <si>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</si>
  <si>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</si>
  <si>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</si>
  <si>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</si>
  <si>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</si>
  <si>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</si>
  <si>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</si>
  <si>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</si>
  <si>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</si>
  <si>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</si>
  <si>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</si>
  <si>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</si>
  <si>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</si>
  <si>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</si>
  <si>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</si>
  <si>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</si>
  <si>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</si>
  <si>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</si>
  <si>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</si>
  <si>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</si>
  <si>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</si>
  <si>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</si>
  <si>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</si>
  <si>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</si>
  <si>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</si>
  <si>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</si>
  <si>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</si>
  <si>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</si>
  <si>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</si>
  <si>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</si>
  <si>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</si>
  <si>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</si>
  <si>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</si>
  <si>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</si>
  <si>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</si>
  <si>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</si>
  <si>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</si>
  <si>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</si>
  <si>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</si>
  <si>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</si>
  <si>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</si>
  <si>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</si>
  <si>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</si>
  <si>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</si>
  <si>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</si>
  <si>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</si>
  <si>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</si>
  <si>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</si>
  <si>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</si>
  <si>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</si>
  <si>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</si>
  <si>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</si>
  <si>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</si>
  <si>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</si>
  <si>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</si>
  <si>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</si>
  <si>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</si>
  <si>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</si>
  <si>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</si>
  <si>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</si>
  <si>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</si>
  <si>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</si>
  <si>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</si>
  <si>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</si>
  <si>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</si>
  <si>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</si>
  <si>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</si>
  <si>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</si>
  <si>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</si>
  <si>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</si>
  <si>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</si>
  <si>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</si>
  <si>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</si>
  <si>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</si>
  <si>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</si>
  <si>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</si>
  <si>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</si>
  <si>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</si>
  <si>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</si>
  <si>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</si>
  <si>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</si>
  <si>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</si>
  <si>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</si>
  <si>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</si>
  <si>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</si>
  <si>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</si>
  <si>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</si>
  <si>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</si>
  <si>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</si>
  <si>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</si>
  <si>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</si>
  <si>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</si>
  <si>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</si>
  <si>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</si>
  <si>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</si>
  <si>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</si>
  <si>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</si>
  <si>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</si>
  <si>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</si>
  <si>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</si>
  <si>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</si>
  <si>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</si>
  <si>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</si>
  <si>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</si>
  <si>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</si>
  <si>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</si>
  <si>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</si>
  <si>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</si>
  <si>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</si>
  <si>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</si>
  <si>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</si>
  <si>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</si>
  <si>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</si>
  <si>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</si>
  <si>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</si>
  <si>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</si>
  <si>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</si>
  <si>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</si>
  <si>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</si>
  <si>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</si>
  <si>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</si>
  <si>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</si>
  <si>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</si>
  <si>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</si>
  <si>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</si>
  <si>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</si>
  <si>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</si>
  <si>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</si>
  <si>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</si>
  <si>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</si>
  <si>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</si>
  <si>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</si>
  <si>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</si>
  <si>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</si>
  <si>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</si>
  <si>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</si>
  <si>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</si>
  <si>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</si>
  <si>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</si>
  <si>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</si>
  <si>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</si>
  <si>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</si>
  <si>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</si>
  <si>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</si>
  <si>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</si>
  <si>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</si>
  <si>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</si>
  <si>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</si>
  <si>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</si>
  <si>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</si>
  <si>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</si>
  <si>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</si>
  <si>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</si>
  <si>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</si>
  <si>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</si>
  <si>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</si>
  <si>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</si>
  <si>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</si>
  <si>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</si>
  <si>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</si>
  <si>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</si>
  <si>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</si>
  <si>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</si>
  <si>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</si>
  <si>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</si>
  <si>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</si>
  <si>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</si>
  <si>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</si>
  <si>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</si>
  <si>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</si>
  <si>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</si>
  <si>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</si>
  <si>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</si>
  <si>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</si>
  <si>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</si>
  <si>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</si>
  <si>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</si>
  <si>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</si>
  <si>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</si>
  <si>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</si>
  <si>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</si>
  <si>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</si>
  <si>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</si>
  <si>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</si>
  <si>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</si>
  <si>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</si>
  <si>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</si>
  <si>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</si>
  <si>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</si>
  <si>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</si>
  <si>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</si>
  <si>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</si>
  <si>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</si>
  <si>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</si>
  <si>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</si>
  <si>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</si>
  <si>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</si>
  <si>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</si>
  <si>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</si>
  <si>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</si>
  <si>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</si>
  <si>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</si>
  <si>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</si>
  <si>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</si>
  <si>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</si>
  <si>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</si>
  <si>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</si>
  <si>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</si>
  <si>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</si>
  <si>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</si>
  <si>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</si>
  <si>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</si>
  <si>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</si>
  <si>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</si>
  <si>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</si>
  <si>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</si>
  <si>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</si>
  <si>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</si>
  <si>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</si>
  <si>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</si>
  <si>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</si>
  <si>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</si>
  <si>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</si>
  <si>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</si>
  <si>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</si>
  <si>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</si>
  <si>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</si>
  <si>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</si>
  <si>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</si>
  <si>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</si>
  <si>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</si>
  <si>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</si>
  <si>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</si>
  <si>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</si>
  <si>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</si>
  <si>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</si>
  <si>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</si>
  <si>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</si>
  <si>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</si>
  <si>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</si>
  <si>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</si>
  <si>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</si>
  <si>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</si>
  <si>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</si>
  <si>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</si>
  <si>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</si>
  <si>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</si>
  <si>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</si>
  <si>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</si>
  <si>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</si>
  <si>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</si>
  <si>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</si>
  <si>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</si>
  <si>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</si>
  <si>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</si>
  <si>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</si>
  <si>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</si>
  <si>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</si>
  <si>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</si>
  <si>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</si>
  <si>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</si>
  <si>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</si>
  <si>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</si>
  <si>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</si>
  <si>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</si>
  <si>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</si>
  <si>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</si>
  <si>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</si>
  <si>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</si>
  <si>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</si>
  <si>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</si>
  <si>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</si>
  <si>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</si>
  <si>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</si>
  <si>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</si>
  <si>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</si>
  <si>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</si>
  <si>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</si>
  <si>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</si>
  <si>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</si>
  <si>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</si>
  <si>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</si>
  <si>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</si>
  <si>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</si>
  <si>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</si>
  <si>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</si>
  <si>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</si>
  <si>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</si>
  <si>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</si>
  <si>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</si>
  <si>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</si>
  <si>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</si>
  <si>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</si>
  <si>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</si>
  <si>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</si>
  <si>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</si>
  <si>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</si>
  <si>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</si>
  <si>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</si>
  <si>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</si>
  <si>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</si>
  <si>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</si>
  <si>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</si>
  <si>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</si>
  <si>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</si>
  <si>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</si>
  <si>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</si>
  <si>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</si>
  <si>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</si>
  <si>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</si>
  <si>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</si>
  <si>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</si>
  <si>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</si>
  <si>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</si>
  <si>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</si>
  <si>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</si>
  <si>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</si>
  <si>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</si>
  <si>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</si>
  <si>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</si>
  <si>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</si>
  <si>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</si>
  <si>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</si>
  <si>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</si>
  <si>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</si>
  <si>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</si>
  <si>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</si>
  <si>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</si>
  <si>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</si>
  <si>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</si>
  <si>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</si>
  <si>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</si>
  <si>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</si>
  <si>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</si>
  <si>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</si>
  <si>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</si>
  <si>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</si>
  <si>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</si>
  <si>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</si>
  <si>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</si>
  <si>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</si>
  <si>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</si>
  <si>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</si>
  <si>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</si>
  <si>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</si>
  <si>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</si>
  <si>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</si>
  <si>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</si>
  <si>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</si>
  <si>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</si>
  <si>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</si>
  <si>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</si>
  <si>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</si>
  <si>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</si>
  <si>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</si>
  <si>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</si>
  <si>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</si>
  <si>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</si>
  <si>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</si>
  <si>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</si>
  <si>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</si>
  <si>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</si>
  <si>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</si>
  <si>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</si>
  <si>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</si>
  <si>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</si>
  <si>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</si>
  <si>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</si>
  <si>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</si>
  <si>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</si>
  <si>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</si>
  <si>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</si>
  <si>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</si>
  <si>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</si>
  <si>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</si>
  <si>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</si>
  <si>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</si>
  <si>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</si>
  <si>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</si>
  <si>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</si>
  <si>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</si>
  <si>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</si>
  <si>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</si>
  <si>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</si>
  <si>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</si>
  <si>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</si>
  <si>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</si>
  <si>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</si>
  <si>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</si>
  <si>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</si>
  <si>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</si>
  <si>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</si>
  <si>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</si>
  <si>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</si>
  <si>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</si>
  <si>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</si>
  <si>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</si>
  <si>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</si>
  <si>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</si>
  <si>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</si>
  <si>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</si>
  <si>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</si>
  <si>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</si>
  <si>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</si>
  <si>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</si>
  <si>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</si>
  <si>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</si>
  <si>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</si>
  <si>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</si>
  <si>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</si>
  <si>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</si>
  <si>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</si>
  <si>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</si>
  <si>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</si>
  <si>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</si>
  <si>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</si>
  <si>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</si>
  <si>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</si>
  <si>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</si>
  <si>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</si>
  <si>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</si>
  <si>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</si>
  <si>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</si>
  <si>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</si>
  <si>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</si>
  <si>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</si>
  <si>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</si>
  <si>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</si>
  <si>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</si>
  <si>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</si>
  <si>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</si>
  <si>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</si>
  <si>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</si>
  <si>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</si>
  <si>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</si>
  <si>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</si>
  <si>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</si>
  <si>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</si>
  <si>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</si>
  <si>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</si>
  <si>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</si>
  <si>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</si>
  <si>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</si>
  <si>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</si>
  <si>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</si>
  <si>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</si>
  <si>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</si>
  <si>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</si>
  <si>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</si>
  <si>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</si>
  <si>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</si>
  <si>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</si>
  <si>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</si>
  <si>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</si>
  <si>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</si>
  <si>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</si>
  <si>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</si>
  <si>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</si>
  <si>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</si>
  <si>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</si>
  <si>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</si>
  <si>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</si>
  <si>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</si>
  <si>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</si>
  <si>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</si>
  <si>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</si>
  <si>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</si>
  <si>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</si>
  <si>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</si>
  <si>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</si>
  <si>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</si>
  <si>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</si>
  <si>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</si>
  <si>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</si>
  <si>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</si>
  <si>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</si>
  <si>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</si>
  <si>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</si>
  <si>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</si>
  <si>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</si>
  <si>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</si>
  <si>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</si>
  <si>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</si>
  <si>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</si>
  <si>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</si>
  <si>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</si>
  <si>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</si>
  <si>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</si>
  <si>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</si>
  <si>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</si>
  <si>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</si>
  <si>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</si>
  <si>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</si>
  <si>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</si>
  <si>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</si>
  <si>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</si>
  <si>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</si>
  <si>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</si>
  <si>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</si>
  <si>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</si>
  <si>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</si>
  <si>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</si>
  <si>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</si>
  <si>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</si>
  <si>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</si>
  <si>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</si>
  <si>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</si>
  <si>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</si>
  <si>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</si>
  <si>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</si>
  <si>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</si>
  <si>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</si>
  <si>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</si>
  <si>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</si>
  <si>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</si>
  <si>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</si>
  <si>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</si>
  <si>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</si>
  <si>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</si>
  <si>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</si>
  <si>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</si>
  <si>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</si>
  <si>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</si>
  <si>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</si>
  <si>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</si>
  <si>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</si>
  <si>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</si>
  <si>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</si>
  <si>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</si>
  <si>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</si>
  <si>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</si>
  <si>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</si>
  <si>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</si>
  <si>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</si>
  <si>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</si>
  <si>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</si>
  <si>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</si>
  <si>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</si>
  <si>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</si>
  <si>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</si>
  <si>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</si>
  <si>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</si>
  <si>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</si>
  <si>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</si>
  <si>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</si>
  <si>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</si>
  <si>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</si>
  <si>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</si>
  <si>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</si>
  <si>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</si>
  <si>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</si>
  <si>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</si>
  <si>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</si>
  <si>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</si>
  <si>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</si>
  <si>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</si>
  <si>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</si>
  <si>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</si>
  <si>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</si>
  <si>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</si>
  <si>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</si>
  <si>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</si>
  <si>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</si>
  <si>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</si>
  <si>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</si>
  <si>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</si>
  <si>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</si>
  <si>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</si>
  <si>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</si>
  <si>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</si>
  <si>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</si>
  <si>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</si>
  <si>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</si>
  <si>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</si>
  <si>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</si>
  <si>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</si>
  <si>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</si>
  <si>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</si>
  <si>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</si>
  <si>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</si>
  <si>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</si>
  <si>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</si>
  <si>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</si>
  <si>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</si>
  <si>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</si>
  <si>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</si>
  <si>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</si>
  <si>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</si>
  <si>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</si>
  <si>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</si>
  <si>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</si>
  <si>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</si>
  <si>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</si>
  <si>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</si>
  <si>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</si>
  <si>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</si>
  <si>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</si>
  <si>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</si>
  <si>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</si>
  <si>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</si>
  <si>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</si>
  <si>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</si>
  <si>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</si>
  <si>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</si>
  <si>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</si>
  <si>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</si>
  <si>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</si>
  <si>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</si>
  <si>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</si>
  <si>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</si>
  <si>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</si>
  <si>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</si>
  <si>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</si>
  <si>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</si>
  <si>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</si>
  <si>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</si>
  <si>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</si>
  <si>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</si>
  <si>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</si>
  <si>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</si>
  <si>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</si>
  <si>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</si>
  <si>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</si>
  <si>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</si>
  <si>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</si>
  <si>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</si>
  <si>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</si>
  <si>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</si>
  <si>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</si>
  <si>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</si>
  <si>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</si>
  <si>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</si>
  <si>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</si>
  <si>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</si>
  <si>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</si>
  <si>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</si>
  <si>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</si>
  <si>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</si>
  <si>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</si>
  <si>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</si>
  <si>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</si>
  <si>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</si>
  <si>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</si>
  <si>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</si>
  <si>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</si>
  <si>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</si>
  <si>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</si>
  <si>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</si>
  <si>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</si>
  <si>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</si>
  <si>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</si>
  <si>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</si>
  <si>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</si>
  <si>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</si>
  <si>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</si>
  <si>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</si>
  <si>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</si>
  <si>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</si>
  <si>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</si>
  <si>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</si>
  <si>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</si>
  <si>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</si>
  <si>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</si>
  <si>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</si>
  <si>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</si>
  <si>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</si>
  <si>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</si>
  <si>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</si>
  <si>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</si>
  <si>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</si>
  <si>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</si>
  <si>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</si>
  <si>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</si>
  <si>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</si>
  <si>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</si>
  <si>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</si>
  <si>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</si>
  <si>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</si>
  <si>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</si>
  <si>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</si>
  <si>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</si>
  <si>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</si>
  <si>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</si>
  <si>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</si>
  <si>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</si>
  <si>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</si>
  <si>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</si>
  <si>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</si>
  <si>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</si>
  <si>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</si>
  <si>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</si>
  <si>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</si>
  <si>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</si>
  <si>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</si>
  <si>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</si>
  <si>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</si>
  <si>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</si>
  <si>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</si>
  <si>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</si>
  <si>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</si>
  <si>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</si>
  <si>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</si>
  <si>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</si>
  <si>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</si>
  <si>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</si>
  <si>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</si>
  <si>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</si>
  <si>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</si>
  <si>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</si>
  <si>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</si>
  <si>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</si>
  <si>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</si>
  <si>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</si>
  <si>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</si>
  <si>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</si>
  <si>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</si>
  <si>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</si>
  <si>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</si>
  <si>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</si>
  <si>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</si>
  <si>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</si>
  <si>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</si>
  <si>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</si>
  <si>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</si>
  <si>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</si>
  <si>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</si>
  <si>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</si>
  <si>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</si>
  <si>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</si>
  <si>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</si>
  <si>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</si>
  <si>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</si>
  <si>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</si>
  <si>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</si>
  <si>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</si>
  <si>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</si>
  <si>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</si>
  <si>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</si>
  <si>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</si>
  <si>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</si>
  <si>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</si>
  <si>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</si>
  <si>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</si>
  <si>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</si>
  <si>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</si>
  <si>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</si>
  <si>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</si>
  <si>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</si>
  <si>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</si>
  <si>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</si>
  <si>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</si>
  <si>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</si>
  <si>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</si>
  <si>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</si>
  <si>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</si>
  <si>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</si>
  <si>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</si>
  <si>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</si>
  <si>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</si>
  <si>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</si>
  <si>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</si>
  <si>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</si>
  <si>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</si>
  <si>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</si>
  <si>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</si>
  <si>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</si>
  <si>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</si>
  <si>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</si>
  <si>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</si>
  <si>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</si>
  <si>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</si>
  <si>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</si>
  <si>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</si>
  <si>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</si>
  <si>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</si>
  <si>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</si>
  <si>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</si>
  <si>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</si>
  <si>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</si>
  <si>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</si>
  <si>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</si>
  <si>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</si>
  <si>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</si>
  <si>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</si>
  <si>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</si>
  <si>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</si>
  <si>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</si>
  <si>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</si>
  <si>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</si>
  <si>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</si>
  <si>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</si>
  <si>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</si>
  <si>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</si>
  <si>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</si>
  <si>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</si>
  <si>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</si>
  <si>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</si>
  <si>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</si>
  <si>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</si>
  <si>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</si>
  <si>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</si>
  <si>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</si>
  <si>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</si>
  <si>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</si>
  <si>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</si>
  <si>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</si>
  <si>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</si>
  <si>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</si>
  <si>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</si>
  <si>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</si>
  <si>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</si>
  <si>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</si>
  <si>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</si>
  <si>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</si>
  <si>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</si>
  <si>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</si>
  <si>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</si>
  <si>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</si>
  <si>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</si>
  <si>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</si>
  <si>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</si>
  <si>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</si>
  <si>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</si>
  <si>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</si>
  <si>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</si>
  <si>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</si>
  <si>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</si>
  <si>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</si>
  <si>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</si>
  <si>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</si>
  <si>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</si>
  <si>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</si>
  <si>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</si>
  <si>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</si>
  <si>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</si>
  <si>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</si>
  <si>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</si>
  <si>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</si>
  <si>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</si>
  <si>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</si>
  <si>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</si>
  <si>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</si>
  <si>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</si>
  <si>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</si>
  <si>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</si>
  <si>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</si>
  <si>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</si>
  <si>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</si>
  <si>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</si>
  <si>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</si>
  <si>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</si>
  <si>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</si>
  <si>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</si>
  <si>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</si>
  <si>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</si>
  <si>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</si>
  <si>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</si>
  <si>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</si>
  <si>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</si>
  <si>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</si>
  <si>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</si>
  <si>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</si>
  <si>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</si>
  <si>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</si>
  <si>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</si>
  <si>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</si>
  <si>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</si>
  <si>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</si>
  <si>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</si>
  <si>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</si>
  <si>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</si>
  <si>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</si>
  <si>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</si>
  <si>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</si>
  <si>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</si>
  <si>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</si>
  <si>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</si>
  <si>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</si>
  <si>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</si>
  <si>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</si>
  <si>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</si>
  <si>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</si>
  <si>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</si>
  <si>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</si>
  <si>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</si>
  <si>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</si>
  <si>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</si>
  <si>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</si>
  <si>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</si>
  <si>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</si>
  <si>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</si>
  <si>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</si>
  <si>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</si>
  <si>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</si>
  <si>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</si>
  <si>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</si>
  <si>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</si>
  <si>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</si>
  <si>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</si>
  <si>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</si>
  <si>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</si>
  <si>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</si>
  <si>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</si>
  <si>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</si>
  <si>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</si>
  <si>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</si>
  <si>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</si>
  <si>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</si>
  <si>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</si>
  <si>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</si>
  <si>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</si>
  <si>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</si>
  <si>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</si>
  <si>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</si>
  <si>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</si>
  <si>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</si>
  <si>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</si>
  <si>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</si>
  <si>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</si>
  <si>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</si>
  <si>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</si>
  <si>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</si>
  <si>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</si>
  <si>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</si>
  <si>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</si>
  <si>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</si>
  <si>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</si>
  <si>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</si>
  <si>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</si>
  <si>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</si>
  <si>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</si>
  <si>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</si>
  <si>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</si>
  <si>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</si>
  <si>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</si>
  <si>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</si>
  <si>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</si>
  <si>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</si>
  <si>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</si>
  <si>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</si>
  <si>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</si>
  <si>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</si>
  <si>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</si>
  <si>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</si>
  <si>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</si>
  <si>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</si>
  <si>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</si>
  <si>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</si>
  <si>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</si>
  <si>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</si>
  <si>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</si>
  <si>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</si>
  <si>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</si>
  <si>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</si>
  <si>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</si>
  <si>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</si>
  <si>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</si>
  <si>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</si>
  <si>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</si>
  <si>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</si>
  <si>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</si>
  <si>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</si>
  <si>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</si>
  <si>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</si>
  <si>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</si>
  <si>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</si>
  <si>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</si>
  <si>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</si>
  <si>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</si>
  <si>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</si>
  <si>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</si>
  <si>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</si>
  <si>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</si>
  <si>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</si>
  <si>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</si>
  <si>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</si>
  <si>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</si>
  <si>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</si>
  <si>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</si>
  <si>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</si>
  <si>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</si>
  <si>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</si>
  <si>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</si>
  <si>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</si>
  <si>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</si>
  <si>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</si>
  <si>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</si>
  <si>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</si>
  <si>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</si>
  <si>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</si>
  <si>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</si>
  <si>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</si>
  <si>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</si>
  <si>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</si>
  <si>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</si>
  <si>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</si>
  <si>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</si>
  <si>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</si>
  <si>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</si>
  <si>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</si>
  <si>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</si>
  <si>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</si>
  <si>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</si>
  <si>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</si>
  <si>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</si>
  <si>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</si>
  <si>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</si>
  <si>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</si>
  <si>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</si>
  <si>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</si>
  <si>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</si>
  <si>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</si>
  <si>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</si>
  <si>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</si>
  <si>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</si>
  <si>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</si>
  <si>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</si>
  <si>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</si>
  <si>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</si>
  <si>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</si>
  <si>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</si>
  <si>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</si>
  <si>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</si>
  <si>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</si>
  <si>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</si>
  <si>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</si>
  <si>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</si>
  <si>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</si>
  <si>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</si>
  <si>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</si>
  <si>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</si>
  <si>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</si>
  <si>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</si>
  <si>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</si>
  <si>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</si>
  <si>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</si>
  <si>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</si>
  <si>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</si>
  <si>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</si>
  <si>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</si>
  <si>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</si>
  <si>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</si>
  <si>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</si>
  <si>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</si>
  <si>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</si>
  <si>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</si>
  <si>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</si>
  <si>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</si>
  <si>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</si>
  <si>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</si>
  <si>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</si>
  <si>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</si>
  <si>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</si>
  <si>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</si>
  <si>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</si>
  <si>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</si>
  <si>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</si>
  <si>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</si>
  <si>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</si>
  <si>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</si>
  <si>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</si>
  <si>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</si>
  <si>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</si>
  <si>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</si>
  <si>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</si>
  <si>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</si>
  <si>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</si>
  <si>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</si>
  <si>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</si>
  <si>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</si>
  <si>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</si>
  <si>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</si>
  <si>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</si>
  <si>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</si>
  <si>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</si>
  <si>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</si>
  <si>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</si>
  <si>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</si>
  <si>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</si>
  <si>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</si>
  <si>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</si>
  <si>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</si>
  <si>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</si>
  <si>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</si>
  <si>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</si>
  <si>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</si>
  <si>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</si>
  <si>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</si>
  <si>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</si>
  <si>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</si>
  <si>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</si>
  <si>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</si>
  <si>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</si>
  <si>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</si>
  <si>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</si>
  <si>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</si>
  <si>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</si>
  <si>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</si>
  <si>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</si>
  <si>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</si>
  <si>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</si>
  <si>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</si>
  <si>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</si>
  <si>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</si>
  <si>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</si>
  <si>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</si>
  <si>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</si>
  <si>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</si>
  <si>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</si>
  <si>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</si>
  <si>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</si>
  <si>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</si>
  <si>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</si>
  <si>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</si>
  <si>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</si>
  <si>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</si>
  <si>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</si>
  <si>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</si>
  <si>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</si>
  <si>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</si>
  <si>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</si>
  <si>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</si>
  <si>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</si>
  <si>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</si>
  <si>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</si>
  <si>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</si>
  <si>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</si>
  <si>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</si>
  <si>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</si>
  <si>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</si>
  <si>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</si>
  <si>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</si>
  <si>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</si>
  <si>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</si>
  <si>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</si>
  <si>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</si>
  <si>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</si>
  <si>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</si>
  <si>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</si>
  <si>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</si>
  <si>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</si>
  <si>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</si>
  <si>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</si>
  <si>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</si>
  <si>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</si>
  <si>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</si>
  <si>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</si>
  <si>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</si>
  <si>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</si>
  <si>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</si>
  <si>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</si>
  <si>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</si>
  <si>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</si>
  <si>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</si>
  <si>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</si>
  <si>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</si>
  <si>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</si>
  <si>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</si>
  <si>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</si>
  <si>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</si>
  <si>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</si>
  <si>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</si>
  <si>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</si>
  <si>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</si>
  <si>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</si>
  <si>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</si>
  <si>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</si>
  <si>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</si>
  <si>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</si>
  <si>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</si>
  <si>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</si>
  <si>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</si>
  <si>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</si>
  <si>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</si>
  <si>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</si>
  <si>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</si>
  <si>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</si>
  <si>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</si>
  <si>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</si>
  <si>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</si>
  <si>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</si>
  <si>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</si>
  <si>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</si>
  <si>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</si>
  <si>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</si>
  <si>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</si>
  <si>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</si>
  <si>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</si>
  <si>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</si>
  <si>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</si>
  <si>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</si>
  <si>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</si>
  <si>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</si>
  <si>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</si>
  <si>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</si>
  <si>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</si>
  <si>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</si>
  <si>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</si>
  <si>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</si>
  <si>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</si>
  <si>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</si>
  <si>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</si>
  <si>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</si>
  <si>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</si>
  <si>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</si>
  <si>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</si>
  <si>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</si>
  <si>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</si>
  <si>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</si>
  <si>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</si>
  <si>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</si>
  <si>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</si>
  <si>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</si>
  <si>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</si>
  <si>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</si>
  <si>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</si>
  <si>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</si>
  <si>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</si>
  <si>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</si>
  <si>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</si>
  <si>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</si>
  <si>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</si>
  <si>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</si>
  <si>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</si>
  <si>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</si>
  <si>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</si>
  <si>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</si>
  <si>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</si>
  <si>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</si>
  <si>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</si>
  <si>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</si>
  <si>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</si>
  <si>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</si>
  <si>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</si>
  <si>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</si>
  <si>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</si>
  <si>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</si>
  <si>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</si>
  <si>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</si>
  <si>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</si>
  <si>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</si>
  <si>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</si>
  <si>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</si>
  <si>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</si>
  <si>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</si>
  <si>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</si>
  <si>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</si>
  <si>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</si>
  <si>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</si>
  <si>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</si>
  <si>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</si>
  <si>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</si>
  <si>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</si>
  <si>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</si>
  <si>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</si>
  <si>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</si>
  <si>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</si>
  <si>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</si>
  <si>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</si>
  <si>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</si>
  <si>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</si>
  <si>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</si>
  <si>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</si>
  <si>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</si>
  <si>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</si>
  <si>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</si>
  <si>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</si>
  <si>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</si>
  <si>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</si>
  <si>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</si>
  <si>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</si>
  <si>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</si>
  <si>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</si>
  <si>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</si>
  <si>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</si>
  <si>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</si>
  <si>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</si>
  <si>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</si>
  <si>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</si>
  <si>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</si>
  <si>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</si>
  <si>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</si>
  <si>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</si>
  <si>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</si>
  <si>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</si>
  <si>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</si>
  <si>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</si>
  <si>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</si>
  <si>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</si>
  <si>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</si>
  <si>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</si>
  <si>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</si>
  <si>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</si>
  <si>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</si>
  <si>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</si>
  <si>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</si>
  <si>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</si>
  <si>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</si>
  <si>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</si>
  <si>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</si>
  <si>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</si>
  <si>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</si>
  <si>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</si>
  <si>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</si>
  <si>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</si>
  <si>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</si>
  <si>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</si>
  <si>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</si>
  <si>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</si>
  <si>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</si>
  <si>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</si>
  <si>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</si>
  <si>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</si>
  <si>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</si>
  <si>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</si>
  <si>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</si>
  <si>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</si>
  <si>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</si>
  <si>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</si>
  <si>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</si>
  <si>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</si>
  <si>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</si>
  <si>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</si>
  <si>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</si>
  <si>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</si>
  <si>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</si>
  <si>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</si>
  <si>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</si>
  <si>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</si>
  <si>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</si>
  <si>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</si>
  <si>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</si>
  <si>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</si>
  <si>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</si>
  <si>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</si>
  <si>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</si>
  <si>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</si>
  <si>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</si>
  <si>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</si>
  <si>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</si>
  <si>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</si>
  <si>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</si>
  <si>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</si>
  <si>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</si>
  <si>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</si>
  <si>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</si>
  <si>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</si>
  <si>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</si>
  <si>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</si>
  <si>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</si>
  <si>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</si>
  <si>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</si>
  <si>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</si>
  <si>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</si>
  <si>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</si>
  <si>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</si>
  <si>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</si>
  <si>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</si>
  <si>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</si>
  <si>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</si>
  <si>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</si>
  <si>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</si>
  <si>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</si>
  <si>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</si>
  <si>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</si>
  <si>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</si>
  <si>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</si>
  <si>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</si>
  <si>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</si>
  <si>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</si>
  <si>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</si>
  <si>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</si>
  <si>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</si>
  <si>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</si>
  <si>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</si>
  <si>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</si>
  <si>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</si>
  <si>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</si>
  <si>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</si>
  <si>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</si>
  <si>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</si>
  <si>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</si>
  <si>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</si>
  <si>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</si>
  <si>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</si>
  <si>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</si>
  <si>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</si>
  <si>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</si>
  <si>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</si>
  <si>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</si>
  <si>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</si>
  <si>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</si>
  <si>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</si>
  <si>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</si>
  <si>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</si>
  <si>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</si>
  <si>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</si>
  <si>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</si>
  <si>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</si>
  <si>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</si>
  <si>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</si>
  <si>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</si>
  <si>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</si>
  <si>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</si>
  <si>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</si>
  <si>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</si>
  <si>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</si>
  <si>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</si>
  <si>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</si>
  <si>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</si>
  <si>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</si>
  <si>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</si>
  <si>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</si>
  <si>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</si>
  <si>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</si>
  <si>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</si>
  <si>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</si>
  <si>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</si>
  <si>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</si>
  <si>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</si>
  <si>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</si>
  <si>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</si>
  <si>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</si>
  <si>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</si>
  <si>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</si>
  <si>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</si>
  <si>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</si>
  <si>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</si>
  <si>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</si>
  <si>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</si>
  <si>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</si>
  <si>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</si>
  <si>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</si>
  <si>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</si>
  <si>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</si>
  <si>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</si>
  <si>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</si>
  <si>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</si>
  <si>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</si>
  <si>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</si>
  <si>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</si>
  <si>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</si>
  <si>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</si>
  <si>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</si>
  <si>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</si>
  <si>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</si>
  <si>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</si>
  <si>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</si>
  <si>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</si>
  <si>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</si>
  <si>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</si>
  <si>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</si>
  <si>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</si>
  <si>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</si>
  <si>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</si>
  <si>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</si>
  <si>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</si>
  <si>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</si>
  <si>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</si>
  <si>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</si>
  <si>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</si>
  <si>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</si>
  <si>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</si>
  <si>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</si>
  <si>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</si>
  <si>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</si>
  <si>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</si>
  <si>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</si>
  <si>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</si>
  <si>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</si>
  <si>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</si>
  <si>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</si>
  <si>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</si>
  <si>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</si>
  <si>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</si>
  <si>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</si>
  <si>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</si>
  <si>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</si>
  <si>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</si>
  <si>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</si>
  <si>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</si>
  <si>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</si>
  <si>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</si>
  <si>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</si>
  <si>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</si>
  <si>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</si>
  <si>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</si>
  <si>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</si>
  <si>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</si>
  <si>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</si>
  <si>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</si>
  <si>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</si>
  <si>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</si>
  <si>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</si>
  <si>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</si>
  <si>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</si>
  <si>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</si>
  <si>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</si>
  <si>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</si>
  <si>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</si>
  <si>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</si>
  <si>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</si>
  <si>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</si>
  <si>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</si>
  <si>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</si>
  <si>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</si>
  <si>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</si>
  <si>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</si>
  <si>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</si>
  <si>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</si>
  <si>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</si>
  <si>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</si>
  <si>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</si>
  <si>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</si>
  <si>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</si>
  <si>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</si>
  <si>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</si>
  <si>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</si>
  <si>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</si>
  <si>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</si>
  <si>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</si>
  <si>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</si>
  <si>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</si>
  <si>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</si>
  <si>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</si>
  <si>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</si>
  <si>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</si>
  <si>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</si>
  <si>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</si>
  <si>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</si>
  <si>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</si>
  <si>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</si>
  <si>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</si>
  <si>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</si>
  <si>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</si>
  <si>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</si>
  <si>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</si>
  <si>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</si>
  <si>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</si>
  <si>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</si>
  <si>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</si>
  <si>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</si>
  <si>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</si>
  <si>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</si>
  <si>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</si>
  <si>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</si>
  <si>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</si>
  <si>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</si>
  <si>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06/16</t>
  </si>
  <si>
    <t>07/26</t>
  </si>
  <si>
    <t>11/01</t>
  </si>
  <si>
    <t>08/03</t>
  </si>
  <si>
    <t>11/21</t>
  </si>
  <si>
    <t>02/23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</si>
</sst>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3">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38" fontId="3" fillId="0" borderId="0" xfId="0" quotePrefix="1" applyNumberFormat="1" applyFont="1" applyAlignment="1" applyProtection="1">
      <alignment horizontal="center"/>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9" activePane="bottomRight" state="frozen"/>
      <selection pane="topRight" activeCell="F1" sqref="F1"/>
      <selection pane="bottomLeft" activeCell="A4" sqref="A4"/>
      <selection pane="bottomRight"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1341</v>
      </c>
      <c r="B2" s="21">
        <v>423</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1457492.939</v>
      </c>
      <c r="G9" s="18"/>
      <c r="H9" s="18"/>
      <c r="I9" s="18">
        <v>554815.4</v>
      </c>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1455940.9377404037</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104859.69</v>
      </c>
      <c r="G12" s="18">
        <v>104619.28999999992</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1027932.25</v>
      </c>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v>38047.769999999997</v>
      </c>
      <c r="H14" s="18">
        <v>248419.04</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10050</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2600334.8789999997</v>
      </c>
      <c r="G19" s="41">
        <f>SUM(G9:G18)</f>
        <v>142667.05999999991</v>
      </c>
      <c r="H19" s="41">
        <f>SUM(H9:H18)</f>
        <v>248419.04</v>
      </c>
      <c r="I19" s="41">
        <f>SUM(I9:I18)</f>
        <v>554815.4</v>
      </c>
      <c r="J19" s="41">
        <f>SUM(J9:J18)</f>
        <v>1455940.9377404037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178406.44</v>
      </c>
      <c r="I22" s="18">
        <v>19121.54</v>
      </c>
      <c r="J22" s="67">
        <f>SUM(I449)</f>
        <v>11951</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83630.91</v>
      </c>
      <c r="G24" s="18">
        <v>3178.66</v>
      </c>
      <c r="H24" s="18">
        <v>22421.279999999999</v>
      </c>
      <c r="I24" s="18">
        <v>2443114.36</v>
      </c>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991383.14899999998</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75843.460000000006</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1245.8599999999999</v>
      </c>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1076259.919</v>
      </c>
      <c r="G32" s="41">
        <f>SUM(G22:G31)</f>
        <v>79022.12000000001</v>
      </c>
      <c r="H32" s="41">
        <f>SUM(H22:H31)</f>
        <v>200827.72</v>
      </c>
      <c r="I32" s="41">
        <f>SUM(I22:I31)</f>
        <v>2462235.9</v>
      </c>
      <c r="J32" s="41">
        <f>SUM(J22:J31)</f>
        <v>11951</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10050</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63644.94</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f>350000+550000</f>
        <v>900000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47591.32</v>
      </c>
      <c r="I48" s="18">
        <v>-1907420.5</v>
      </c>
      <c r="J48" s="13">
        <f>SUM(I460)</f>
        <v>1443989.94</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1164024.96-550000</f>
        <v>614024.95999999996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1524074.96</v>
      </c>
      <c r="G51" s="41">
        <f>SUM(G35:G50)</f>
        <v>63644.94</v>
      </c>
      <c r="H51" s="41">
        <f>SUM(H35:H50)</f>
        <v>47591.32</v>
      </c>
      <c r="I51" s="41">
        <f>SUM(I35:I50)</f>
        <v>-1907420.5</v>
      </c>
      <c r="J51" s="41">
        <f>SUM(J35:J50)</f>
        <v>1443989.94</v>
      </c>
      <c r="K51" s="45" t="s">
        <v>288</v>
      </c>
      <c r="L51" s="45" t="s">
        <v>288</v>
      </c>
      <c r="N51" s="264"/>
    </row>
    <row r="52" spans="1:14" s="3" customFormat="1" ht="12.2" customHeight="1" thickTop="1" x14ac:dyDescent="0.15">
      <c r="A52" s="38" t="s">
        <v>455</v>
      </c>
      <c r="B52" s="39" t="s">
        <v>289</v>
      </c>
      <c r="C52" s="6">
        <v>37</v>
      </c>
      <c r="D52" s="39" t="s">
        <v>653</v>
      </c>
      <c r="E52" s="39"/>
      <c r="F52" s="41">
        <f>F51+F32</f>
        <v>2600334.8789999997</v>
      </c>
      <c r="G52" s="41">
        <f>G51+G32</f>
        <v>142667.06</v>
      </c>
      <c r="H52" s="41">
        <f>H51+H32</f>
        <v>248419.04</v>
      </c>
      <c r="I52" s="41">
        <f>I51+I32</f>
        <v>554815.39999999991</v>
      </c>
      <c r="J52" s="41">
        <f>J51+J32</f>
        <v>1455940.94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32365568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32365568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2890842.48</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2890842.48</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197.41</v>
      </c>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197.41</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14257.41</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456579.83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11713.15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v>750</v>
      </c>
      <c r="H102" s="18"/>
      <c r="I102" s="18"/>
      <c r="J102" s="18">
        <v>7113</v>
      </c>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47460.37</v>
      </c>
      <c r="G110" s="18"/>
      <c r="H110" s="18">
        <v>62313.46</v>
      </c>
      <c r="I110" s="18"/>
      <c r="J110" s="18">
        <v>69143.73</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73430.929999999993</v>
      </c>
      <c r="G111" s="41">
        <f>SUM(G96:G110)</f>
        <v>457329.83</v>
      </c>
      <c r="H111" s="41">
        <f>SUM(H96:H110)</f>
        <v>62313.46</v>
      </c>
      <c r="I111" s="41">
        <f>SUM(I96:I110)</f>
        <v>0</v>
      </c>
      <c r="J111" s="41">
        <f>SUM(J96:J110)</f>
        <v>76256.73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35330038.819999993</v>
      </c>
      <c r="G112" s="41">
        <f>G60+G111</f>
        <v>457329.83</v>
      </c>
      <c r="H112" s="41">
        <f>H60+H79+H94+H111</f>
        <v>62313.46</v>
      </c>
      <c r="I112" s="41">
        <f>I60+I111</f>
        <v>0</v>
      </c>
      <c r="J112" s="41">
        <f>J60+J111</f>
        <v>76256.73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5254507.6399999997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3897028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1447.7</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9152983.3399999999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523742.09</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125171.88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4255.3999999999996</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8394.01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125600</v>
      </c>
      <c r="G135" s="18"/>
      <c r="H135" s="18">
        <v>16575.07</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778769.37</v>
      </c>
      <c r="G136" s="41">
        <f>SUM(G123:G135)</f>
        <v>8394.01</v>
      </c>
      <c r="H136" s="41">
        <f>SUM(H123:H135)</f>
        <v>16575.07</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9931752.709999999</v>
      </c>
      <c r="G140" s="41">
        <f>G121+SUM(G136:G137)</f>
        <v>8394.01</v>
      </c>
      <c r="H140" s="41">
        <f>H121+SUM(H136:H139)</f>
        <v>16575.07</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47601.35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74084.3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271058.25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498114.8</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161467.85</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161467.85</v>
      </c>
      <c r="G163" s="41">
        <f>SUM(G150:G162)</f>
        <v>271058.25</v>
      </c>
      <c r="H163" s="41">
        <f>SUM(H150:H162)</f>
        <v>619800.44999999995</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161467.85</v>
      </c>
      <c r="G170" s="41">
        <f>G147+G163+SUM(G164:G169)</f>
        <v>271058.25</v>
      </c>
      <c r="H170" s="41">
        <f>H147+H163+SUM(H164:H169)</f>
        <v>619800.44999999995</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v>3000000</v>
      </c>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v>226.4</v>
      </c>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3000226.4</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3000226.4</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45423259.379999995</v>
      </c>
      <c r="G194" s="47">
        <f>G112+G140+G170+G193</f>
        <v>736782.09000000008</v>
      </c>
      <c r="H194" s="47">
        <f>H112+H140+H170+H193</f>
        <v>698688.98</v>
      </c>
      <c r="I194" s="47">
        <f>I112+I140+I170+I193</f>
        <v>3000226.4</v>
      </c>
      <c r="J194" s="47">
        <f>J112+J140+J193</f>
        <v>76256.73</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4306017.0399999991</v>
      </c>
      <c r="G198" s="18">
        <v>1846898.08</v>
      </c>
      <c r="H198" s="18">
        <v>39475.869999999995</v>
      </c>
      <c r="I198" s="18">
        <v>111130.56</v>
      </c>
      <c r="J198" s="18">
        <v>8135.88</v>
      </c>
      <c r="K198" s="18">
        <v>0</v>
      </c>
      <c r="L198" s="19">
        <f>SUM(F198:K198)</f>
        <v>6311657.4299999988</v>
      </c>
      <c r="M198" s="8"/>
      <c r="N198" s="266"/>
    </row>
    <row r="199" spans="1:14" s="3" customFormat="1" ht="12.2" customHeight="1" x14ac:dyDescent="0.15">
      <c r="A199" s="1" t="s">
        <v>439</v>
      </c>
      <c r="B199" s="2" t="s">
        <v>341</v>
      </c>
      <c r="C199" s="2" t="s">
        <v>291</v>
      </c>
      <c r="D199" s="2" t="s">
        <v>431</v>
      </c>
      <c r="E199" s="6">
        <v>1200</v>
      </c>
      <c r="F199" s="18">
        <v>1204164.2000000002</v>
      </c>
      <c r="G199" s="18">
        <v>458191.27000000008</v>
      </c>
      <c r="H199" s="18">
        <v>412681.83</v>
      </c>
      <c r="I199" s="18">
        <v>8331.32</v>
      </c>
      <c r="J199" s="18">
        <v>0</v>
      </c>
      <c r="K199" s="18">
        <v>4253.92</v>
      </c>
      <c r="L199" s="19">
        <f>SUM(F199:K199)</f>
        <v>2087622.5400000003</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6913</v>
      </c>
      <c r="G201" s="18">
        <v>1495.9</v>
      </c>
      <c r="H201" s="18">
        <v>10413.57</v>
      </c>
      <c r="I201" s="18">
        <v>1338.78</v>
      </c>
      <c r="J201" s="18">
        <v>0</v>
      </c>
      <c r="K201" s="18">
        <v>0</v>
      </c>
      <c r="L201" s="19">
        <f>SUM(F201:K201)</f>
        <v>20161.25</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760685.38</v>
      </c>
      <c r="G203" s="18">
        <v>371844.65999999992</v>
      </c>
      <c r="H203" s="18">
        <v>206547.49</v>
      </c>
      <c r="I203" s="18">
        <v>6659.75</v>
      </c>
      <c r="J203" s="18">
        <v>0</v>
      </c>
      <c r="K203" s="18">
        <v>0</v>
      </c>
      <c r="L203" s="19">
        <f t="shared" ref="L203:L209" si="0">SUM(F203:K203)</f>
        <v>1345737.28</v>
      </c>
      <c r="M203" s="8"/>
      <c r="N203" s="266"/>
    </row>
    <row r="204" spans="1:14" s="3" customFormat="1" ht="12.2" customHeight="1" x14ac:dyDescent="0.15">
      <c r="A204" s="1" t="s">
        <v>443</v>
      </c>
      <c r="B204" s="2" t="s">
        <v>341</v>
      </c>
      <c r="C204" s="2" t="s">
        <v>295</v>
      </c>
      <c r="D204" s="2" t="s">
        <v>431</v>
      </c>
      <c r="E204" s="6">
        <v>2200</v>
      </c>
      <c r="F204" s="18">
        <v>256758.52999999997</v>
      </c>
      <c r="G204" s="18">
        <v>109238.8</v>
      </c>
      <c r="H204" s="18">
        <v>40901.649999999994</v>
      </c>
      <c r="I204" s="18">
        <v>44768.27</v>
      </c>
      <c r="J204" s="18">
        <v>1583.3200000000002</v>
      </c>
      <c r="K204" s="18">
        <v>0</v>
      </c>
      <c r="L204" s="19">
        <f t="shared" si="0"/>
        <v>453250.57</v>
      </c>
      <c r="M204" s="8"/>
      <c r="N204" s="266"/>
    </row>
    <row r="205" spans="1:14" s="3" customFormat="1" ht="12.2" customHeight="1" x14ac:dyDescent="0.15">
      <c r="A205" s="1" t="s">
        <v>444</v>
      </c>
      <c r="B205" s="2" t="s">
        <v>341</v>
      </c>
      <c r="C205" s="2" t="s">
        <v>296</v>
      </c>
      <c r="D205" s="2" t="s">
        <v>431</v>
      </c>
      <c r="E205" s="6">
        <v>2300</v>
      </c>
      <c r="F205" s="18">
        <v>289902.40000000002</v>
      </c>
      <c r="G205" s="18">
        <v>118524.26</v>
      </c>
      <c r="H205" s="18">
        <v>57137.88</v>
      </c>
      <c r="I205" s="18">
        <v>6925.06</v>
      </c>
      <c r="J205" s="18">
        <v>0</v>
      </c>
      <c r="K205" s="18">
        <v>4705.2</v>
      </c>
      <c r="L205" s="19">
        <f t="shared" si="0"/>
        <v>477194.80000000005</v>
      </c>
      <c r="M205" s="8"/>
      <c r="N205" s="266"/>
    </row>
    <row r="206" spans="1:14" s="3" customFormat="1" ht="12.2" customHeight="1" x14ac:dyDescent="0.15">
      <c r="A206" s="1" t="s">
        <v>445</v>
      </c>
      <c r="B206" s="2" t="s">
        <v>341</v>
      </c>
      <c r="C206" s="2" t="s">
        <v>297</v>
      </c>
      <c r="D206" s="2" t="s">
        <v>431</v>
      </c>
      <c r="E206" s="6">
        <v>2400</v>
      </c>
      <c r="F206" s="18">
        <v>374058.04000000004</v>
      </c>
      <c r="G206" s="18">
        <v>210714.41999999998</v>
      </c>
      <c r="H206" s="18">
        <v>69114.749999999971</v>
      </c>
      <c r="I206" s="18">
        <v>3767.84</v>
      </c>
      <c r="J206" s="18">
        <v>0</v>
      </c>
      <c r="K206" s="18">
        <v>1040.7</v>
      </c>
      <c r="L206" s="19">
        <f t="shared" si="0"/>
        <v>658695.74999999988</v>
      </c>
      <c r="M206" s="8"/>
      <c r="N206" s="266"/>
    </row>
    <row r="207" spans="1:14" s="3" customFormat="1" ht="12.2" customHeight="1" x14ac:dyDescent="0.15">
      <c r="A207" s="1" t="s">
        <v>446</v>
      </c>
      <c r="B207" s="2" t="s">
        <v>341</v>
      </c>
      <c r="C207" s="2" t="s">
        <v>298</v>
      </c>
      <c r="D207" s="2" t="s">
        <v>431</v>
      </c>
      <c r="E207" s="6">
        <v>2500</v>
      </c>
      <c r="F207" s="18">
        <v>103990.6</v>
      </c>
      <c r="G207" s="18">
        <v>53451.09</v>
      </c>
      <c r="H207" s="18">
        <v>43658.31</v>
      </c>
      <c r="I207" s="18">
        <v>1459.35</v>
      </c>
      <c r="J207" s="18">
        <v>0</v>
      </c>
      <c r="K207" s="18">
        <v>2295.04</v>
      </c>
      <c r="L207" s="19">
        <f t="shared" si="0"/>
        <v>204854.39</v>
      </c>
      <c r="M207" s="8"/>
      <c r="N207" s="266"/>
    </row>
    <row r="208" spans="1:14" s="3" customFormat="1" ht="12.2" customHeight="1" x14ac:dyDescent="0.15">
      <c r="A208" s="1" t="s">
        <v>447</v>
      </c>
      <c r="B208" s="2" t="s">
        <v>341</v>
      </c>
      <c r="C208" s="2" t="s">
        <v>299</v>
      </c>
      <c r="D208" s="2" t="s">
        <v>431</v>
      </c>
      <c r="E208" s="6">
        <v>2600</v>
      </c>
      <c r="F208" s="18">
        <v>286585.12</v>
      </c>
      <c r="G208" s="18">
        <v>159346.20000000001</v>
      </c>
      <c r="H208" s="18">
        <v>286983.71999999997</v>
      </c>
      <c r="I208" s="18">
        <v>139864.59</v>
      </c>
      <c r="J208" s="18">
        <v>11439.28</v>
      </c>
      <c r="K208" s="18">
        <v>0</v>
      </c>
      <c r="L208" s="19">
        <f t="shared" si="0"/>
        <v>884218.91</v>
      </c>
      <c r="M208" s="8"/>
      <c r="N208" s="266"/>
    </row>
    <row r="209" spans="1:14" s="3" customFormat="1" ht="12.2" customHeight="1" x14ac:dyDescent="0.15">
      <c r="A209" s="1" t="s">
        <v>448</v>
      </c>
      <c r="B209" s="2" t="s">
        <v>341</v>
      </c>
      <c r="C209" s="2" t="s">
        <v>300</v>
      </c>
      <c r="D209" s="2" t="s">
        <v>431</v>
      </c>
      <c r="E209" s="6">
        <v>2700</v>
      </c>
      <c r="F209" s="18">
        <v>247533.36</v>
      </c>
      <c r="G209" s="18">
        <v>187007.12</v>
      </c>
      <c r="H209" s="18">
        <v>112499.19</v>
      </c>
      <c r="I209" s="18">
        <v>30007.98</v>
      </c>
      <c r="J209" s="18">
        <v>8804.5</v>
      </c>
      <c r="K209" s="18">
        <v>537.71</v>
      </c>
      <c r="L209" s="19">
        <f t="shared" si="0"/>
        <v>586389.85999999987</v>
      </c>
      <c r="M209" s="8"/>
      <c r="N209" s="266"/>
    </row>
    <row r="210" spans="1:14" s="3" customFormat="1" ht="12.2" customHeight="1" x14ac:dyDescent="0.15">
      <c r="A210" s="1" t="s">
        <v>449</v>
      </c>
      <c r="B210" s="2" t="s">
        <v>341</v>
      </c>
      <c r="C210" s="2" t="s">
        <v>343</v>
      </c>
      <c r="D210" s="2" t="s">
        <v>431</v>
      </c>
      <c r="E210" s="6">
        <v>2800</v>
      </c>
      <c r="F210" s="18">
        <v>155722.93</v>
      </c>
      <c r="G210" s="18">
        <v>82432.039999999994</v>
      </c>
      <c r="H210" s="18">
        <v>152395</v>
      </c>
      <c r="I210" s="18">
        <v>45500.67</v>
      </c>
      <c r="J210" s="18">
        <v>16936.52</v>
      </c>
      <c r="K210" s="18">
        <v>2458.9</v>
      </c>
      <c r="L210" s="19">
        <f>SUM(F210:K210)</f>
        <v>455446.06</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7992330.5999999996</v>
      </c>
      <c r="G212" s="41">
        <f t="shared" si="1"/>
        <v>3599143.84</v>
      </c>
      <c r="H212" s="41">
        <f t="shared" si="1"/>
        <v>1431809.26</v>
      </c>
      <c r="I212" s="41">
        <f t="shared" si="1"/>
        <v>399754.17</v>
      </c>
      <c r="J212" s="41">
        <f t="shared" si="1"/>
        <v>46899.5</v>
      </c>
      <c r="K212" s="41">
        <f t="shared" si="1"/>
        <v>15291.47</v>
      </c>
      <c r="L212" s="41">
        <f t="shared" si="1"/>
        <v>13485228.84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3780944.7900000005</v>
      </c>
      <c r="G216" s="18">
        <v>1826606.2000000002</v>
      </c>
      <c r="H216" s="18">
        <v>42572.84</v>
      </c>
      <c r="I216" s="18">
        <v>71218.3</v>
      </c>
      <c r="J216" s="18">
        <v>13842.91</v>
      </c>
      <c r="K216" s="18">
        <v>0</v>
      </c>
      <c r="L216" s="19">
        <f>SUM(F216:K216)</f>
        <v>5735185.04</v>
      </c>
      <c r="M216" s="8"/>
      <c r="N216" s="266"/>
    </row>
    <row r="217" spans="1:14" s="3" customFormat="1" ht="12.2" customHeight="1" x14ac:dyDescent="0.15">
      <c r="A217" s="1" t="s">
        <v>439</v>
      </c>
      <c r="B217" s="2" t="s">
        <v>346</v>
      </c>
      <c r="C217" s="2" t="s">
        <v>291</v>
      </c>
      <c r="D217" s="2" t="s">
        <v>431</v>
      </c>
      <c r="E217" s="6">
        <v>1200</v>
      </c>
      <c r="F217" s="18">
        <v>1299055.99</v>
      </c>
      <c r="G217" s="18">
        <v>588450.03999999992</v>
      </c>
      <c r="H217" s="18">
        <v>303227.40000000002</v>
      </c>
      <c r="I217" s="18">
        <v>7274.6200000000008</v>
      </c>
      <c r="J217" s="18">
        <v>276.18</v>
      </c>
      <c r="K217" s="18">
        <v>4012.56</v>
      </c>
      <c r="L217" s="19">
        <f>SUM(F217:K217)</f>
        <v>2202296.79</v>
      </c>
      <c r="M217" s="8"/>
      <c r="N217" s="266"/>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6"/>
    </row>
    <row r="219" spans="1:14" s="3" customFormat="1" ht="12.2" customHeight="1" x14ac:dyDescent="0.15">
      <c r="A219" s="1" t="s">
        <v>441</v>
      </c>
      <c r="B219" s="2" t="s">
        <v>346</v>
      </c>
      <c r="C219" s="2" t="s">
        <v>293</v>
      </c>
      <c r="D219" s="2" t="s">
        <v>431</v>
      </c>
      <c r="E219" s="6">
        <v>1400</v>
      </c>
      <c r="F219" s="18">
        <v>62676.5</v>
      </c>
      <c r="G219" s="18">
        <v>13098.25</v>
      </c>
      <c r="H219" s="18">
        <v>5675</v>
      </c>
      <c r="I219" s="18">
        <v>8558.52</v>
      </c>
      <c r="J219" s="18">
        <v>0</v>
      </c>
      <c r="K219" s="18">
        <v>235</v>
      </c>
      <c r="L219" s="19">
        <f>SUM(F219:K219)</f>
        <v>90243.27</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537394.75</v>
      </c>
      <c r="G221" s="18">
        <v>240327.23999999996</v>
      </c>
      <c r="H221" s="18">
        <v>204469.27</v>
      </c>
      <c r="I221" s="18">
        <v>4983.42</v>
      </c>
      <c r="J221" s="18">
        <v>2244.09</v>
      </c>
      <c r="K221" s="18">
        <v>0</v>
      </c>
      <c r="L221" s="19">
        <f t="shared" ref="L221:L227" si="2">SUM(F221:K221)</f>
        <v>989418.77</v>
      </c>
      <c r="M221" s="8"/>
      <c r="N221" s="266"/>
    </row>
    <row r="222" spans="1:14" s="3" customFormat="1" ht="12.2" customHeight="1" x14ac:dyDescent="0.15">
      <c r="A222" s="1" t="s">
        <v>443</v>
      </c>
      <c r="B222" s="2" t="s">
        <v>346</v>
      </c>
      <c r="C222" s="2" t="s">
        <v>295</v>
      </c>
      <c r="D222" s="2" t="s">
        <v>431</v>
      </c>
      <c r="E222" s="6">
        <v>2200</v>
      </c>
      <c r="F222" s="18">
        <v>139484.12</v>
      </c>
      <c r="G222" s="18">
        <v>72204.150000000009</v>
      </c>
      <c r="H222" s="18">
        <v>39587.5</v>
      </c>
      <c r="I222" s="18">
        <v>27729.11</v>
      </c>
      <c r="J222" s="18">
        <v>2590.8900000000003</v>
      </c>
      <c r="K222" s="18">
        <v>0</v>
      </c>
      <c r="L222" s="19">
        <f t="shared" si="2"/>
        <v>281595.77</v>
      </c>
      <c r="M222" s="8"/>
      <c r="N222" s="266"/>
    </row>
    <row r="223" spans="1:14" s="3" customFormat="1" ht="12.2" customHeight="1" x14ac:dyDescent="0.15">
      <c r="A223" s="1" t="s">
        <v>444</v>
      </c>
      <c r="B223" s="2" t="s">
        <v>346</v>
      </c>
      <c r="C223" s="2" t="s">
        <v>296</v>
      </c>
      <c r="D223" s="2" t="s">
        <v>431</v>
      </c>
      <c r="E223" s="6">
        <v>2300</v>
      </c>
      <c r="F223" s="18">
        <v>280675.94</v>
      </c>
      <c r="G223" s="18">
        <v>115311.18</v>
      </c>
      <c r="H223" s="18">
        <v>53896.02</v>
      </c>
      <c r="I223" s="18">
        <v>6532.14</v>
      </c>
      <c r="J223" s="18">
        <v>0</v>
      </c>
      <c r="K223" s="18">
        <v>4438.2299999999996</v>
      </c>
      <c r="L223" s="19">
        <f t="shared" si="2"/>
        <v>460853.51</v>
      </c>
      <c r="M223" s="8"/>
      <c r="N223" s="266"/>
    </row>
    <row r="224" spans="1:14" s="3" customFormat="1" ht="12.2" customHeight="1" x14ac:dyDescent="0.15">
      <c r="A224" s="1" t="s">
        <v>445</v>
      </c>
      <c r="B224" s="2" t="s">
        <v>346</v>
      </c>
      <c r="C224" s="2" t="s">
        <v>297</v>
      </c>
      <c r="D224" s="2" t="s">
        <v>431</v>
      </c>
      <c r="E224" s="6">
        <v>2400</v>
      </c>
      <c r="F224" s="18">
        <v>302931.48</v>
      </c>
      <c r="G224" s="18">
        <v>151409.40999999997</v>
      </c>
      <c r="H224" s="18">
        <v>28379.47</v>
      </c>
      <c r="I224" s="18">
        <v>2072.59</v>
      </c>
      <c r="J224" s="18">
        <v>0</v>
      </c>
      <c r="K224" s="18">
        <v>1439.99</v>
      </c>
      <c r="L224" s="19">
        <f t="shared" si="2"/>
        <v>486232.94</v>
      </c>
      <c r="M224" s="8"/>
      <c r="N224" s="266"/>
    </row>
    <row r="225" spans="1:14" s="3" customFormat="1" ht="12.2" customHeight="1" x14ac:dyDescent="0.15">
      <c r="A225" s="1" t="s">
        <v>446</v>
      </c>
      <c r="B225" s="2" t="s">
        <v>346</v>
      </c>
      <c r="C225" s="2" t="s">
        <v>298</v>
      </c>
      <c r="D225" s="2" t="s">
        <v>431</v>
      </c>
      <c r="E225" s="6">
        <v>2500</v>
      </c>
      <c r="F225" s="18">
        <v>98090.42</v>
      </c>
      <c r="G225" s="18">
        <v>50418.41</v>
      </c>
      <c r="H225" s="18">
        <v>41181.24</v>
      </c>
      <c r="I225" s="18">
        <v>1376.54</v>
      </c>
      <c r="J225" s="18">
        <v>0</v>
      </c>
      <c r="K225" s="18">
        <v>2164.8200000000002</v>
      </c>
      <c r="L225" s="19">
        <f t="shared" si="2"/>
        <v>193231.43000000002</v>
      </c>
      <c r="M225" s="8"/>
      <c r="N225" s="266"/>
    </row>
    <row r="226" spans="1:14" s="3" customFormat="1" ht="12.2" customHeight="1" x14ac:dyDescent="0.15">
      <c r="A226" s="1" t="s">
        <v>447</v>
      </c>
      <c r="B226" s="2" t="s">
        <v>346</v>
      </c>
      <c r="C226" s="2" t="s">
        <v>299</v>
      </c>
      <c r="D226" s="2" t="s">
        <v>431</v>
      </c>
      <c r="E226" s="6">
        <v>2600</v>
      </c>
      <c r="F226" s="18">
        <v>286166.08999999997</v>
      </c>
      <c r="G226" s="18">
        <v>142388.6</v>
      </c>
      <c r="H226" s="18">
        <v>290348.56</v>
      </c>
      <c r="I226" s="18">
        <v>150950.57</v>
      </c>
      <c r="J226" s="18">
        <v>9299.19</v>
      </c>
      <c r="K226" s="18">
        <v>0</v>
      </c>
      <c r="L226" s="19">
        <f t="shared" si="2"/>
        <v>879153.01</v>
      </c>
      <c r="M226" s="8"/>
      <c r="N226" s="266"/>
    </row>
    <row r="227" spans="1:14" s="3" customFormat="1" ht="12.2" customHeight="1" x14ac:dyDescent="0.15">
      <c r="A227" s="1" t="s">
        <v>448</v>
      </c>
      <c r="B227" s="2" t="s">
        <v>346</v>
      </c>
      <c r="C227" s="2" t="s">
        <v>300</v>
      </c>
      <c r="D227" s="2" t="s">
        <v>431</v>
      </c>
      <c r="E227" s="6">
        <v>2700</v>
      </c>
      <c r="F227" s="18">
        <v>239797.62000000002</v>
      </c>
      <c r="G227" s="18">
        <v>176824.1</v>
      </c>
      <c r="H227" s="18">
        <v>104770.69</v>
      </c>
      <c r="I227" s="18">
        <v>28305.39</v>
      </c>
      <c r="J227" s="18">
        <v>8304.9500000000007</v>
      </c>
      <c r="K227" s="18">
        <v>507.21</v>
      </c>
      <c r="L227" s="19">
        <f t="shared" si="2"/>
        <v>558509.96</v>
      </c>
      <c r="M227" s="8"/>
      <c r="N227" s="266"/>
    </row>
    <row r="228" spans="1:14" s="3" customFormat="1" ht="12.2" customHeight="1" x14ac:dyDescent="0.15">
      <c r="A228" s="1" t="s">
        <v>449</v>
      </c>
      <c r="B228" s="2" t="s">
        <v>346</v>
      </c>
      <c r="C228" s="2" t="s">
        <v>343</v>
      </c>
      <c r="D228" s="2" t="s">
        <v>431</v>
      </c>
      <c r="E228" s="6">
        <v>2800</v>
      </c>
      <c r="F228" s="18">
        <v>146887.59</v>
      </c>
      <c r="G228" s="18">
        <v>77755.05</v>
      </c>
      <c r="H228" s="18">
        <v>143748.48000000001</v>
      </c>
      <c r="I228" s="18">
        <v>42919.07</v>
      </c>
      <c r="J228" s="18">
        <v>15975.58</v>
      </c>
      <c r="K228" s="18">
        <v>2319.39</v>
      </c>
      <c r="L228" s="19">
        <f>SUM(F228:K228)</f>
        <v>429605.16000000003</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7174105.29</v>
      </c>
      <c r="G230" s="41">
        <f>SUM(G216:G229)</f>
        <v>3454792.6300000004</v>
      </c>
      <c r="H230" s="41">
        <f>SUM(H216:H229)</f>
        <v>1257856.47</v>
      </c>
      <c r="I230" s="41">
        <f>SUM(I216:I229)</f>
        <v>351920.27</v>
      </c>
      <c r="J230" s="41">
        <f>SUM(J216:J229)</f>
        <v>52533.790000000008</v>
      </c>
      <c r="K230" s="41">
        <f t="shared" si="3"/>
        <v>15117.199999999997</v>
      </c>
      <c r="L230" s="41">
        <f t="shared" si="3"/>
        <v>12306325.649999999</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4302089.3600000003</v>
      </c>
      <c r="G234" s="18">
        <v>2185746.5</v>
      </c>
      <c r="H234" s="18">
        <v>34671.550000000003</v>
      </c>
      <c r="I234" s="18">
        <v>83349.740000000005</v>
      </c>
      <c r="J234" s="18">
        <v>12795.62</v>
      </c>
      <c r="K234" s="18">
        <v>75</v>
      </c>
      <c r="L234" s="19">
        <f>SUM(F234:K234)</f>
        <v>6618727.7700000005</v>
      </c>
      <c r="M234" s="8"/>
      <c r="N234" s="266"/>
    </row>
    <row r="235" spans="1:14" s="3" customFormat="1" ht="12.2" customHeight="1" x14ac:dyDescent="0.15">
      <c r="A235" s="1" t="s">
        <v>439</v>
      </c>
      <c r="B235" s="2" t="s">
        <v>350</v>
      </c>
      <c r="C235" s="2" t="s">
        <v>291</v>
      </c>
      <c r="D235" s="2" t="s">
        <v>431</v>
      </c>
      <c r="E235" s="6">
        <v>1200</v>
      </c>
      <c r="F235" s="18">
        <v>1231994.51</v>
      </c>
      <c r="G235" s="18">
        <v>616456.77999999991</v>
      </c>
      <c r="H235" s="18">
        <v>404665.29</v>
      </c>
      <c r="I235" s="18">
        <v>8243.82</v>
      </c>
      <c r="J235" s="18">
        <v>0</v>
      </c>
      <c r="K235" s="18">
        <v>5020.22</v>
      </c>
      <c r="L235" s="19">
        <f>SUM(F235:K235)</f>
        <v>2266380.62</v>
      </c>
      <c r="M235" s="8"/>
      <c r="N235" s="266"/>
    </row>
    <row r="236" spans="1:14" s="3" customFormat="1" ht="12.2" customHeight="1" x14ac:dyDescent="0.15">
      <c r="A236" s="1" t="s">
        <v>440</v>
      </c>
      <c r="B236" s="2" t="s">
        <v>350</v>
      </c>
      <c r="C236" s="2" t="s">
        <v>292</v>
      </c>
      <c r="D236" s="2" t="s">
        <v>431</v>
      </c>
      <c r="E236" s="6">
        <v>1300</v>
      </c>
      <c r="F236" s="18">
        <v>0</v>
      </c>
      <c r="G236" s="18">
        <v>0</v>
      </c>
      <c r="H236" s="18">
        <v>38752.769999999997</v>
      </c>
      <c r="I236" s="18">
        <v>0</v>
      </c>
      <c r="J236" s="18">
        <v>0</v>
      </c>
      <c r="K236" s="18">
        <v>0</v>
      </c>
      <c r="L236" s="19">
        <f>SUM(F236:K236)</f>
        <v>38752.769999999997</v>
      </c>
      <c r="M236" s="8"/>
      <c r="N236" s="266"/>
    </row>
    <row r="237" spans="1:14" s="3" customFormat="1" ht="12.2" customHeight="1" x14ac:dyDescent="0.15">
      <c r="A237" s="1" t="s">
        <v>441</v>
      </c>
      <c r="B237" s="2" t="s">
        <v>350</v>
      </c>
      <c r="C237" s="2" t="s">
        <v>293</v>
      </c>
      <c r="D237" s="2" t="s">
        <v>431</v>
      </c>
      <c r="E237" s="6">
        <v>1400</v>
      </c>
      <c r="F237" s="18">
        <v>281177.64</v>
      </c>
      <c r="G237" s="18">
        <v>56747.94999999999</v>
      </c>
      <c r="H237" s="18">
        <v>68385.399999999994</v>
      </c>
      <c r="I237" s="18">
        <v>18508.039999999997</v>
      </c>
      <c r="J237" s="18">
        <v>23990.27</v>
      </c>
      <c r="K237" s="18">
        <v>45714.350000000006</v>
      </c>
      <c r="L237" s="19">
        <f>SUM(F237:K237)</f>
        <v>494523.65</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1021552.91</v>
      </c>
      <c r="G239" s="18">
        <v>458374.29</v>
      </c>
      <c r="H239" s="18">
        <v>332066.57</v>
      </c>
      <c r="I239" s="18">
        <v>6029.8</v>
      </c>
      <c r="J239" s="18">
        <v>0</v>
      </c>
      <c r="K239" s="18">
        <v>333.9</v>
      </c>
      <c r="L239" s="19">
        <f t="shared" ref="L239:L245" si="4">SUM(F239:K239)</f>
        <v>1818357.47</v>
      </c>
      <c r="M239" s="8"/>
      <c r="N239" s="266"/>
    </row>
    <row r="240" spans="1:14" s="3" customFormat="1" ht="12.2" customHeight="1" x14ac:dyDescent="0.15">
      <c r="A240" s="1" t="s">
        <v>443</v>
      </c>
      <c r="B240" s="2" t="s">
        <v>350</v>
      </c>
      <c r="C240" s="2" t="s">
        <v>295</v>
      </c>
      <c r="D240" s="2" t="s">
        <v>431</v>
      </c>
      <c r="E240" s="6">
        <v>2200</v>
      </c>
      <c r="F240" s="18">
        <v>154345.00999999998</v>
      </c>
      <c r="G240" s="18">
        <v>58802.01</v>
      </c>
      <c r="H240" s="18">
        <v>45211.75</v>
      </c>
      <c r="I240" s="18">
        <v>29218.36</v>
      </c>
      <c r="J240" s="18">
        <v>7535.71</v>
      </c>
      <c r="K240" s="18">
        <v>0</v>
      </c>
      <c r="L240" s="19">
        <f t="shared" si="4"/>
        <v>295112.84000000003</v>
      </c>
      <c r="M240" s="8"/>
      <c r="N240" s="266"/>
    </row>
    <row r="241" spans="1:14" s="3" customFormat="1" ht="12.2" customHeight="1" x14ac:dyDescent="0.15">
      <c r="A241" s="1" t="s">
        <v>444</v>
      </c>
      <c r="B241" s="2" t="s">
        <v>350</v>
      </c>
      <c r="C241" s="2" t="s">
        <v>296</v>
      </c>
      <c r="D241" s="2" t="s">
        <v>431</v>
      </c>
      <c r="E241" s="6">
        <v>2300</v>
      </c>
      <c r="F241" s="18">
        <v>325560.11</v>
      </c>
      <c r="G241" s="18">
        <v>130480.6</v>
      </c>
      <c r="H241" s="18">
        <v>67430.8</v>
      </c>
      <c r="I241" s="18">
        <v>8172.54</v>
      </c>
      <c r="J241" s="18">
        <v>0</v>
      </c>
      <c r="K241" s="18">
        <v>5552.8</v>
      </c>
      <c r="L241" s="19">
        <f t="shared" si="4"/>
        <v>537196.85</v>
      </c>
      <c r="M241" s="8"/>
      <c r="N241" s="266"/>
    </row>
    <row r="242" spans="1:14" s="3" customFormat="1" ht="12.2" customHeight="1" x14ac:dyDescent="0.15">
      <c r="A242" s="1" t="s">
        <v>445</v>
      </c>
      <c r="B242" s="2" t="s">
        <v>350</v>
      </c>
      <c r="C242" s="2" t="s">
        <v>297</v>
      </c>
      <c r="D242" s="2" t="s">
        <v>431</v>
      </c>
      <c r="E242" s="6">
        <v>2400</v>
      </c>
      <c r="F242" s="18">
        <v>405732.81</v>
      </c>
      <c r="G242" s="18">
        <v>202779.28</v>
      </c>
      <c r="H242" s="18">
        <v>46179.24</v>
      </c>
      <c r="I242" s="18">
        <v>3017.42</v>
      </c>
      <c r="J242" s="18">
        <v>151.97999999999999</v>
      </c>
      <c r="K242" s="18">
        <v>4841</v>
      </c>
      <c r="L242" s="19">
        <f t="shared" si="4"/>
        <v>662701.73</v>
      </c>
      <c r="M242" s="8"/>
      <c r="N242" s="266"/>
    </row>
    <row r="243" spans="1:14" s="3" customFormat="1" ht="12.2" customHeight="1" x14ac:dyDescent="0.15">
      <c r="A243" s="1" t="s">
        <v>446</v>
      </c>
      <c r="B243" s="2" t="s">
        <v>350</v>
      </c>
      <c r="C243" s="2" t="s">
        <v>298</v>
      </c>
      <c r="D243" s="2" t="s">
        <v>431</v>
      </c>
      <c r="E243" s="6">
        <v>2500</v>
      </c>
      <c r="F243" s="18">
        <v>122723.65</v>
      </c>
      <c r="G243" s="18">
        <v>63079.87</v>
      </c>
      <c r="H243" s="18">
        <v>51522.99</v>
      </c>
      <c r="I243" s="18">
        <v>1722.23</v>
      </c>
      <c r="J243" s="18">
        <v>0</v>
      </c>
      <c r="K243" s="18">
        <v>2708.47</v>
      </c>
      <c r="L243" s="19">
        <f t="shared" si="4"/>
        <v>241757.21</v>
      </c>
      <c r="M243" s="8"/>
      <c r="N243" s="266"/>
    </row>
    <row r="244" spans="1:14" s="3" customFormat="1" ht="12.2" customHeight="1" x14ac:dyDescent="0.15">
      <c r="A244" s="1" t="s">
        <v>447</v>
      </c>
      <c r="B244" s="2" t="s">
        <v>350</v>
      </c>
      <c r="C244" s="2" t="s">
        <v>299</v>
      </c>
      <c r="D244" s="2" t="s">
        <v>431</v>
      </c>
      <c r="E244" s="6">
        <v>2600</v>
      </c>
      <c r="F244" s="18">
        <v>441892.45</v>
      </c>
      <c r="G244" s="18">
        <v>266784.63</v>
      </c>
      <c r="H244" s="18">
        <v>360040.87</v>
      </c>
      <c r="I244" s="18">
        <v>296792.25</v>
      </c>
      <c r="J244" s="18">
        <v>11634.47</v>
      </c>
      <c r="K244" s="18">
        <v>0</v>
      </c>
      <c r="L244" s="19">
        <f t="shared" si="4"/>
        <v>1377144.6700000002</v>
      </c>
      <c r="M244" s="8"/>
      <c r="N244" s="266"/>
    </row>
    <row r="245" spans="1:14" s="3" customFormat="1" ht="12.2" customHeight="1" x14ac:dyDescent="0.15">
      <c r="A245" s="1" t="s">
        <v>448</v>
      </c>
      <c r="B245" s="2" t="s">
        <v>350</v>
      </c>
      <c r="C245" s="2" t="s">
        <v>300</v>
      </c>
      <c r="D245" s="2" t="s">
        <v>431</v>
      </c>
      <c r="E245" s="6">
        <v>2700</v>
      </c>
      <c r="F245" s="18">
        <v>326034.53999999998</v>
      </c>
      <c r="G245" s="18">
        <v>223100.06</v>
      </c>
      <c r="H245" s="18">
        <v>131081.51999999999</v>
      </c>
      <c r="I245" s="18">
        <v>35413.660000000003</v>
      </c>
      <c r="J245" s="18">
        <v>10390.549999999999</v>
      </c>
      <c r="K245" s="18">
        <v>634.58000000000004</v>
      </c>
      <c r="L245" s="19">
        <f t="shared" si="4"/>
        <v>726654.91</v>
      </c>
      <c r="M245" s="8"/>
      <c r="N245" s="266"/>
    </row>
    <row r="246" spans="1:14" s="3" customFormat="1" ht="12.2" customHeight="1" x14ac:dyDescent="0.15">
      <c r="A246" s="1" t="s">
        <v>449</v>
      </c>
      <c r="B246" s="2" t="s">
        <v>350</v>
      </c>
      <c r="C246" s="2" t="s">
        <v>343</v>
      </c>
      <c r="D246" s="2" t="s">
        <v>431</v>
      </c>
      <c r="E246" s="6">
        <v>2800</v>
      </c>
      <c r="F246" s="18">
        <v>183775.15</v>
      </c>
      <c r="G246" s="18">
        <v>97281.5</v>
      </c>
      <c r="H246" s="18">
        <v>179847.72</v>
      </c>
      <c r="I246" s="18">
        <v>53697.25</v>
      </c>
      <c r="J246" s="18">
        <v>19987.5</v>
      </c>
      <c r="K246" s="18">
        <v>2901.86</v>
      </c>
      <c r="L246" s="19">
        <f>SUM(F246:K246)</f>
        <v>537490.98</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8796878.1400000006</v>
      </c>
      <c r="G248" s="41">
        <f t="shared" si="5"/>
        <v>4359633.47</v>
      </c>
      <c r="H248" s="41">
        <f t="shared" si="5"/>
        <v>1759856.47</v>
      </c>
      <c r="I248" s="41">
        <f t="shared" si="5"/>
        <v>544165.1100000001</v>
      </c>
      <c r="J248" s="41">
        <f t="shared" si="5"/>
        <v>86486.1</v>
      </c>
      <c r="K248" s="41">
        <f t="shared" si="5"/>
        <v>67782.180000000008</v>
      </c>
      <c r="L248" s="41">
        <f t="shared" si="5"/>
        <v>15614801.470000003</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2128935.15</v>
      </c>
      <c r="I256" s="18"/>
      <c r="J256" s="18"/>
      <c r="K256" s="18"/>
      <c r="L256" s="19">
        <f t="shared" si="6"/>
        <v>2128935.15</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2128935.15</v>
      </c>
      <c r="I257" s="41">
        <f t="shared" si="7"/>
        <v>0</v>
      </c>
      <c r="J257" s="41">
        <f t="shared" si="7"/>
        <v>0</v>
      </c>
      <c r="K257" s="41">
        <f t="shared" si="7"/>
        <v>0</v>
      </c>
      <c r="L257" s="41">
        <f>SUM(F257:K257)</f>
        <v>2128935.15</v>
      </c>
      <c r="M257" s="8"/>
      <c r="N257" s="266"/>
    </row>
    <row r="258" spans="1:14" s="3" customFormat="1" ht="12.2" customHeight="1" thickTop="1" x14ac:dyDescent="0.15">
      <c r="A258" s="38" t="s">
        <v>462</v>
      </c>
      <c r="B258" s="40">
        <v>10</v>
      </c>
      <c r="C258" s="40">
        <v>8</v>
      </c>
      <c r="D258" s="39" t="s">
        <v>431</v>
      </c>
      <c r="E258" s="40"/>
      <c r="F258" s="41">
        <f t="shared" ref="F258:L258" si="8">F212+F230+F248+F257</f>
        <v>23963314.030000001</v>
      </c>
      <c r="G258" s="41">
        <f t="shared" si="8"/>
        <v>11413569.940000001</v>
      </c>
      <c r="H258" s="41">
        <f t="shared" si="8"/>
        <v>6578457.3499999996</v>
      </c>
      <c r="I258" s="41">
        <f t="shared" si="8"/>
        <v>1295839.55</v>
      </c>
      <c r="J258" s="41">
        <f t="shared" si="8"/>
        <v>185919.39</v>
      </c>
      <c r="K258" s="41">
        <f t="shared" si="8"/>
        <v>98190.85</v>
      </c>
      <c r="L258" s="41">
        <f t="shared" si="8"/>
        <v>43535291.109999999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1285000</v>
      </c>
      <c r="L261" s="19">
        <f>SUM(F261:K261)</f>
        <v>1285000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199134</v>
      </c>
      <c r="L262" s="19">
        <f>SUM(F262:K262)</f>
        <v>199134</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1484134</v>
      </c>
      <c r="L271" s="41">
        <f t="shared" si="9"/>
        <v>1484134</v>
      </c>
      <c r="M271" s="8"/>
      <c r="N271" s="266"/>
    </row>
    <row r="272" spans="1:14" s="34" customFormat="1" ht="12.2" customHeight="1" thickTop="1" x14ac:dyDescent="0.2">
      <c r="A272" s="43" t="s">
        <v>464</v>
      </c>
      <c r="B272" s="40">
        <v>10</v>
      </c>
      <c r="C272" s="40">
        <v>18</v>
      </c>
      <c r="D272" s="39" t="s">
        <v>431</v>
      </c>
      <c r="E272" s="40"/>
      <c r="F272" s="42">
        <f t="shared" ref="F272:L272" si="11">F258+F271</f>
        <v>23963314.030000001</v>
      </c>
      <c r="G272" s="42">
        <f t="shared" si="11"/>
        <v>11413569.940000001</v>
      </c>
      <c r="H272" s="42">
        <f t="shared" si="11"/>
        <v>6578457.3499999996</v>
      </c>
      <c r="I272" s="42">
        <f t="shared" si="11"/>
        <v>1295839.55</v>
      </c>
      <c r="J272" s="42">
        <f t="shared" si="11"/>
        <v>185919.39</v>
      </c>
      <c r="K272" s="42">
        <f t="shared" si="11"/>
        <v>1582324.85</v>
      </c>
      <c r="L272" s="42">
        <f t="shared" si="11"/>
        <v>45019425.109999999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31990</v>
      </c>
      <c r="G277" s="18">
        <v>13013.24</v>
      </c>
      <c r="H277" s="18">
        <v>970</v>
      </c>
      <c r="I277" s="18">
        <v>0</v>
      </c>
      <c r="J277" s="18">
        <v>0</v>
      </c>
      <c r="K277" s="18"/>
      <c r="L277" s="19">
        <f>SUM(F277:K277)</f>
        <v>45973.24</v>
      </c>
      <c r="M277" s="8"/>
      <c r="N277" s="266"/>
    </row>
    <row r="278" spans="1:14" s="3" customFormat="1" ht="12.2" customHeight="1" x14ac:dyDescent="0.15">
      <c r="A278" s="1" t="s">
        <v>439</v>
      </c>
      <c r="B278" s="2" t="s">
        <v>357</v>
      </c>
      <c r="C278" s="2" t="s">
        <v>291</v>
      </c>
      <c r="D278" s="2" t="s">
        <v>431</v>
      </c>
      <c r="E278" s="6">
        <v>1200</v>
      </c>
      <c r="F278" s="18">
        <v>76.84</v>
      </c>
      <c r="G278" s="18">
        <v>19.41</v>
      </c>
      <c r="H278" s="18">
        <v>20921.850000000002</v>
      </c>
      <c r="I278" s="18">
        <v>289.48</v>
      </c>
      <c r="J278" s="18">
        <v>0</v>
      </c>
      <c r="K278" s="18"/>
      <c r="L278" s="19">
        <f>SUM(F278:K278)</f>
        <v>21307.58</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14095.56</v>
      </c>
      <c r="G280" s="18">
        <v>2076.5300000000002</v>
      </c>
      <c r="H280" s="18">
        <v>0</v>
      </c>
      <c r="I280" s="18">
        <v>6183.44</v>
      </c>
      <c r="J280" s="18">
        <v>172.89</v>
      </c>
      <c r="K280" s="18"/>
      <c r="L280" s="19">
        <f>SUM(F280:K280)</f>
        <v>22528.42</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v>1889.73</v>
      </c>
      <c r="G283" s="18">
        <v>285.14999999999998</v>
      </c>
      <c r="H283" s="18">
        <v>17861.439999999999</v>
      </c>
      <c r="I283" s="18"/>
      <c r="J283" s="18"/>
      <c r="K283" s="18"/>
      <c r="L283" s="19">
        <f t="shared" si="12"/>
        <v>20036.32</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v>2803.29</v>
      </c>
      <c r="I289" s="18">
        <v>2106.29</v>
      </c>
      <c r="J289" s="18">
        <v>21362.21</v>
      </c>
      <c r="K289" s="18"/>
      <c r="L289" s="19">
        <f>SUM(F289:K289)</f>
        <v>26271.79</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48052.130000000005</v>
      </c>
      <c r="G291" s="42">
        <f t="shared" si="13"/>
        <v>15394.33</v>
      </c>
      <c r="H291" s="42">
        <f t="shared" si="13"/>
        <v>42556.58</v>
      </c>
      <c r="I291" s="42">
        <f t="shared" si="13"/>
        <v>8579.2099999999991</v>
      </c>
      <c r="J291" s="42">
        <f t="shared" si="13"/>
        <v>21535.1</v>
      </c>
      <c r="K291" s="42">
        <f t="shared" si="13"/>
        <v>0</v>
      </c>
      <c r="L291" s="41">
        <f t="shared" si="13"/>
        <v>136117.35</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v>165099.48000000001</v>
      </c>
      <c r="G297" s="18">
        <v>90320.489999999991</v>
      </c>
      <c r="H297" s="18">
        <v>25431.71</v>
      </c>
      <c r="I297" s="18">
        <v>273.05</v>
      </c>
      <c r="J297" s="18">
        <v>0</v>
      </c>
      <c r="K297" s="18"/>
      <c r="L297" s="19">
        <f>SUM(F297:K297)</f>
        <v>281124.73</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v>14795.81</v>
      </c>
      <c r="G299" s="18">
        <v>1958.71</v>
      </c>
      <c r="H299" s="18">
        <v>850</v>
      </c>
      <c r="I299" s="18">
        <v>4765.84</v>
      </c>
      <c r="J299" s="18">
        <v>163.08000000000001</v>
      </c>
      <c r="K299" s="18"/>
      <c r="L299" s="19">
        <f>SUM(F299:K299)</f>
        <v>22533.440000000002</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v>1227.76</v>
      </c>
      <c r="G302" s="18">
        <v>226.54</v>
      </c>
      <c r="H302" s="18">
        <v>15909.48</v>
      </c>
      <c r="I302" s="18"/>
      <c r="J302" s="18"/>
      <c r="K302" s="18"/>
      <c r="L302" s="19">
        <f t="shared" si="14"/>
        <v>17363.78</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v>2644.24</v>
      </c>
      <c r="I308" s="18">
        <v>1986.79</v>
      </c>
      <c r="J308" s="18">
        <v>20150.169999999998</v>
      </c>
      <c r="K308" s="18"/>
      <c r="L308" s="19">
        <f>SUM(F308:K308)</f>
        <v>24781.199999999997</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181123.05000000002</v>
      </c>
      <c r="G310" s="42">
        <f t="shared" si="15"/>
        <v>92505.739999999991</v>
      </c>
      <c r="H310" s="42">
        <f t="shared" si="15"/>
        <v>44835.43</v>
      </c>
      <c r="I310" s="42">
        <f t="shared" si="15"/>
        <v>7025.68</v>
      </c>
      <c r="J310" s="42">
        <f t="shared" si="15"/>
        <v>20313.25</v>
      </c>
      <c r="K310" s="42">
        <f t="shared" si="15"/>
        <v>0</v>
      </c>
      <c r="L310" s="41">
        <f t="shared" si="15"/>
        <v>345803.14999999997</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v>138413.01999999999</v>
      </c>
      <c r="G316" s="18">
        <v>60803.089999999989</v>
      </c>
      <c r="H316" s="18">
        <v>4354.6100000000015</v>
      </c>
      <c r="I316" s="18">
        <v>341.62999999999994</v>
      </c>
      <c r="J316" s="18">
        <v>0</v>
      </c>
      <c r="K316" s="18"/>
      <c r="L316" s="19">
        <f>SUM(F316:K316)</f>
        <v>203912.35</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v>18134.750000000007</v>
      </c>
      <c r="G318" s="18">
        <v>2450.6099999999997</v>
      </c>
      <c r="H318" s="18">
        <v>0</v>
      </c>
      <c r="I318" s="18">
        <v>5084.34</v>
      </c>
      <c r="J318" s="18">
        <v>204.03</v>
      </c>
      <c r="K318" s="18"/>
      <c r="L318" s="19">
        <f>SUM(F318:K318)</f>
        <v>25873.730000000007</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v>1536.0900000000004</v>
      </c>
      <c r="G321" s="18">
        <v>283.43000000000006</v>
      </c>
      <c r="H321" s="18">
        <v>19904.8</v>
      </c>
      <c r="I321" s="18"/>
      <c r="J321" s="18"/>
      <c r="K321" s="18"/>
      <c r="L321" s="19">
        <f t="shared" si="16"/>
        <v>21724.32</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v>3308.2699999999995</v>
      </c>
      <c r="I327" s="18">
        <v>2485.7300000000005</v>
      </c>
      <c r="J327" s="18">
        <v>25210.439999999995</v>
      </c>
      <c r="K327" s="18"/>
      <c r="L327" s="19">
        <f>SUM(F327:K327)</f>
        <v>31004.439999999995</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158083.85999999999</v>
      </c>
      <c r="G329" s="42">
        <f t="shared" si="17"/>
        <v>63537.12999999999</v>
      </c>
      <c r="H329" s="42">
        <f t="shared" si="17"/>
        <v>27567.68</v>
      </c>
      <c r="I329" s="42">
        <f t="shared" si="17"/>
        <v>7911.7000000000007</v>
      </c>
      <c r="J329" s="42">
        <f t="shared" si="17"/>
        <v>25414.469999999994</v>
      </c>
      <c r="K329" s="42">
        <f t="shared" si="17"/>
        <v>0</v>
      </c>
      <c r="L329" s="41">
        <f t="shared" si="17"/>
        <v>282514.84000000003</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387259.04000000004</v>
      </c>
      <c r="G339" s="41">
        <f t="shared" si="20"/>
        <v>171437.19999999998</v>
      </c>
      <c r="H339" s="41">
        <f t="shared" si="20"/>
        <v>114959.69</v>
      </c>
      <c r="I339" s="41">
        <f t="shared" si="20"/>
        <v>23516.59</v>
      </c>
      <c r="J339" s="41">
        <f t="shared" si="20"/>
        <v>67262.819999999992</v>
      </c>
      <c r="K339" s="41">
        <f t="shared" si="20"/>
        <v>0</v>
      </c>
      <c r="L339" s="41">
        <f t="shared" si="20"/>
        <v>764435.34000000008</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387259.04000000004</v>
      </c>
      <c r="G353" s="41">
        <f>G339</f>
        <v>171437.19999999998</v>
      </c>
      <c r="H353" s="41">
        <f>H339</f>
        <v>114959.69</v>
      </c>
      <c r="I353" s="41">
        <f>I339</f>
        <v>23516.59</v>
      </c>
      <c r="J353" s="41">
        <f>J339</f>
        <v>67262.819999999992</v>
      </c>
      <c r="K353" s="47">
        <f>K339+K352</f>
        <v>0</v>
      </c>
      <c r="L353" s="41">
        <f>L339+L352</f>
        <v>764435.34000000008</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116465.66</v>
      </c>
      <c r="G359" s="18">
        <v>27024.09</v>
      </c>
      <c r="H359" s="18">
        <v>2364.02</v>
      </c>
      <c r="I359" s="18">
        <v>85246.029999999984</v>
      </c>
      <c r="J359" s="18">
        <v>128.02000000000001</v>
      </c>
      <c r="K359" s="18">
        <v>328.37</v>
      </c>
      <c r="L359" s="13">
        <f>SUM(F359:K359)</f>
        <v>231556.18999999997</v>
      </c>
      <c r="M359" s="8"/>
      <c r="N359" s="266"/>
    </row>
    <row r="360" spans="1:22" s="3" customFormat="1" ht="12.2" customHeight="1" x14ac:dyDescent="0.15">
      <c r="A360" s="1" t="s">
        <v>542</v>
      </c>
      <c r="B360" s="2" t="s">
        <v>366</v>
      </c>
      <c r="C360" s="6">
        <v>2</v>
      </c>
      <c r="D360" s="2" t="s">
        <v>431</v>
      </c>
      <c r="E360" s="6"/>
      <c r="F360" s="18">
        <v>109857.68</v>
      </c>
      <c r="G360" s="18">
        <v>25490.799999999999</v>
      </c>
      <c r="H360" s="18">
        <v>1430.78</v>
      </c>
      <c r="I360" s="18">
        <v>78383.560000000012</v>
      </c>
      <c r="J360" s="18">
        <v>120.76</v>
      </c>
      <c r="K360" s="18">
        <v>276.45</v>
      </c>
      <c r="L360" s="19">
        <f>SUM(F360:K360)</f>
        <v>215560.03000000003</v>
      </c>
      <c r="M360" s="8"/>
      <c r="N360" s="266"/>
    </row>
    <row r="361" spans="1:22" s="3" customFormat="1" ht="12.2" customHeight="1" x14ac:dyDescent="0.15">
      <c r="A361" s="3" t="s">
        <v>543</v>
      </c>
      <c r="B361" s="2" t="s">
        <v>366</v>
      </c>
      <c r="C361" s="6">
        <v>3</v>
      </c>
      <c r="D361" s="2" t="s">
        <v>431</v>
      </c>
      <c r="E361" s="6"/>
      <c r="F361" s="18">
        <v>137445.99</v>
      </c>
      <c r="G361" s="18">
        <v>31892.25</v>
      </c>
      <c r="H361" s="18">
        <v>4458.5200000000004</v>
      </c>
      <c r="I361" s="18">
        <f>116948.01-0.01</f>
        <v>116948</v>
      </c>
      <c r="J361" s="18">
        <v>151.08000000000001</v>
      </c>
      <c r="K361" s="18">
        <v>345.18</v>
      </c>
      <c r="L361" s="19">
        <f>SUM(F361:K361)</f>
        <v>291241.02</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363769.32999999996</v>
      </c>
      <c r="G363" s="47">
        <f t="shared" si="22"/>
        <v>84407.14</v>
      </c>
      <c r="H363" s="47">
        <f t="shared" si="22"/>
        <v>8253.32</v>
      </c>
      <c r="I363" s="47">
        <f t="shared" si="22"/>
        <v>280577.58999999997</v>
      </c>
      <c r="J363" s="47">
        <f t="shared" si="22"/>
        <v>399.86</v>
      </c>
      <c r="K363" s="47">
        <f t="shared" si="22"/>
        <v>950</v>
      </c>
      <c r="L363" s="47">
        <f t="shared" si="22"/>
        <v>738357.24</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74867.76999999999</v>
      </c>
      <c r="G368" s="18">
        <v>69720.430000000008</v>
      </c>
      <c r="H368" s="18">
        <v>103417.85</v>
      </c>
      <c r="I368" s="56">
        <f>SUM(F368:H368)</f>
        <v>248006.05000000002</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10378.26</v>
      </c>
      <c r="G369" s="63">
        <v>8663.130000000001</v>
      </c>
      <c r="H369" s="63">
        <f>13530.16-0.01</f>
        <v>13530.15</v>
      </c>
      <c r="I369" s="56">
        <f>SUM(F369:H369)</f>
        <v>32571.54</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85246.029999999984</v>
      </c>
      <c r="G370" s="47">
        <f>SUM(G368:G369)</f>
        <v>78383.560000000012</v>
      </c>
      <c r="H370" s="47">
        <f>SUM(H368:H369)</f>
        <v>116948</v>
      </c>
      <c r="I370" s="47">
        <f>SUM(I368:I369)</f>
        <v>280577.59000000003</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v>1031976.9</v>
      </c>
      <c r="I377" s="18"/>
      <c r="J377" s="18"/>
      <c r="K377" s="18"/>
      <c r="L377" s="13">
        <f t="shared" si="23"/>
        <v>1031976.9</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v>3875670</v>
      </c>
      <c r="I379" s="18"/>
      <c r="J379" s="18"/>
      <c r="K379" s="18"/>
      <c r="L379" s="13">
        <f t="shared" si="23"/>
        <v>3875670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4907646.9000000004</v>
      </c>
      <c r="I383" s="41">
        <f t="shared" si="24"/>
        <v>0</v>
      </c>
      <c r="J383" s="47">
        <f t="shared" si="24"/>
        <v>0</v>
      </c>
      <c r="K383" s="47">
        <f t="shared" si="24"/>
        <v>0</v>
      </c>
      <c r="L383" s="47">
        <f t="shared" si="24"/>
        <v>4907646.9000000004</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v>13798.73</v>
      </c>
      <c r="J390" s="24" t="s">
        <v>288</v>
      </c>
      <c r="K390" s="24" t="s">
        <v>288</v>
      </c>
      <c r="L390" s="56">
        <f t="shared" si="25"/>
        <v>13798.73</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13798.73</v>
      </c>
      <c r="J394" s="45" t="s">
        <v>288</v>
      </c>
      <c r="K394" s="45" t="s">
        <v>288</v>
      </c>
      <c r="L394" s="47">
        <f>SUM(L388:L393)</f>
        <v>13798.73</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v>979.34999999999991</v>
      </c>
      <c r="J397" s="24" t="s">
        <v>288</v>
      </c>
      <c r="K397" s="24" t="s">
        <v>288</v>
      </c>
      <c r="L397" s="56">
        <f t="shared" si="26"/>
        <v>979.34999999999991</v>
      </c>
      <c r="M397" s="8"/>
      <c r="N397" s="266"/>
    </row>
    <row r="398" spans="1:14" s="3" customFormat="1" ht="12.2" customHeight="1" x14ac:dyDescent="0.15">
      <c r="A398" s="79" t="s">
        <v>515</v>
      </c>
      <c r="B398" s="2" t="s">
        <v>381</v>
      </c>
      <c r="C398" s="6">
        <v>10</v>
      </c>
      <c r="D398" s="2" t="s">
        <v>432</v>
      </c>
      <c r="E398" s="6"/>
      <c r="F398" s="18"/>
      <c r="G398" s="18"/>
      <c r="H398" s="18"/>
      <c r="I398" s="18">
        <v>24126.270000000004</v>
      </c>
      <c r="J398" s="24" t="s">
        <v>288</v>
      </c>
      <c r="K398" s="24" t="s">
        <v>288</v>
      </c>
      <c r="L398" s="56">
        <f t="shared" si="26"/>
        <v>24126.270000000004</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f>30239.37+7113+0.01</f>
        <v>37352.379999999997</v>
      </c>
      <c r="J401" s="24" t="s">
        <v>288</v>
      </c>
      <c r="K401" s="24" t="s">
        <v>288</v>
      </c>
      <c r="L401" s="56">
        <f t="shared" si="26"/>
        <v>37352.379999999997</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62458</v>
      </c>
      <c r="J402" s="45" t="s">
        <v>288</v>
      </c>
      <c r="K402" s="45" t="s">
        <v>288</v>
      </c>
      <c r="L402" s="47">
        <f>SUM(L396:L401)</f>
        <v>62458</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76256.73</v>
      </c>
      <c r="J409" s="24" t="s">
        <v>288</v>
      </c>
      <c r="K409" s="24" t="s">
        <v>288</v>
      </c>
      <c r="L409" s="47">
        <f>L394+L402+L408</f>
        <v>76256.73</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v>11500</v>
      </c>
      <c r="L427" s="56">
        <f t="shared" si="29"/>
        <v>11500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11500</v>
      </c>
      <c r="L428" s="47">
        <f t="shared" si="30"/>
        <v>11500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11500</v>
      </c>
      <c r="L435" s="47">
        <f t="shared" si="32"/>
        <v>11500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281070.7877404039</v>
      </c>
      <c r="G441" s="18">
        <f>1174870.14+0.01</f>
        <v>1174870.1499999999</v>
      </c>
      <c r="H441" s="18"/>
      <c r="I441" s="56">
        <f t="shared" si="33"/>
        <v>1455940.9377404037</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281070.7877404039</v>
      </c>
      <c r="G447" s="13">
        <f>SUM(G440:G446)</f>
        <v>1174870.1499999999</v>
      </c>
      <c r="H447" s="13">
        <f>SUM(H440:H446)</f>
        <v>0</v>
      </c>
      <c r="I447" s="13">
        <f>SUM(I440:I446)</f>
        <v>1455940.9377404037</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v>11951</v>
      </c>
      <c r="H449" s="18"/>
      <c r="I449" s="56">
        <f>SUM(F449:H449)</f>
        <v>11951</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11951</v>
      </c>
      <c r="H453" s="72">
        <f>SUM(H449:H452)</f>
        <v>0</v>
      </c>
      <c r="I453" s="72">
        <f>SUM(I449:I452)</f>
        <v>11951</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281070.78999999998</v>
      </c>
      <c r="G460" s="18">
        <f>1162919.14+0.01</f>
        <v>1162919.1499999999</v>
      </c>
      <c r="H460" s="18"/>
      <c r="I460" s="56">
        <f t="shared" si="34"/>
        <v>1443989.94</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281070.78999999998</v>
      </c>
      <c r="G461" s="83">
        <f>SUM(G455:G460)</f>
        <v>1162919.1499999999</v>
      </c>
      <c r="H461" s="83">
        <f>SUM(H455:H460)</f>
        <v>0</v>
      </c>
      <c r="I461" s="83">
        <f>SUM(I455:I460)</f>
        <v>1443989.94</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281070.78999999998</v>
      </c>
      <c r="G462" s="42">
        <f>G453+G461</f>
        <v>1174870.1499999999</v>
      </c>
      <c r="H462" s="42">
        <f>H453+H461</f>
        <v>0</v>
      </c>
      <c r="I462" s="42">
        <f>I453+I461</f>
        <v>1455940.94</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1120240.69</v>
      </c>
      <c r="G466" s="18">
        <v>65220.089999999967</v>
      </c>
      <c r="H466" s="18">
        <v>113337.67999999982</v>
      </c>
      <c r="I466" s="18">
        <v>0</v>
      </c>
      <c r="J466" s="18">
        <v>1379233.21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45423259.379999995</v>
      </c>
      <c r="G469" s="18">
        <v>736782.09000000008</v>
      </c>
      <c r="H469" s="18">
        <v>698688.98</v>
      </c>
      <c r="I469" s="18">
        <v>3000226.4</v>
      </c>
      <c r="J469" s="18">
        <v>76256.73</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45423259.379999995</v>
      </c>
      <c r="G471" s="53">
        <f>SUM(G469:G470)</f>
        <v>736782.09000000008</v>
      </c>
      <c r="H471" s="53">
        <f>SUM(H469:H470)</f>
        <v>698688.98</v>
      </c>
      <c r="I471" s="53">
        <f>SUM(I469:I470)</f>
        <v>3000226.4</v>
      </c>
      <c r="J471" s="53">
        <f>SUM(J469:J470)</f>
        <v>76256.73</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45019425.109999999</v>
      </c>
      <c r="G473" s="18">
        <v>738357.24</v>
      </c>
      <c r="H473" s="18">
        <v>764435.34</v>
      </c>
      <c r="I473" s="18">
        <v>4907646.9000000004</v>
      </c>
      <c r="J473" s="18">
        <v>11500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45019425.109999999</v>
      </c>
      <c r="G475" s="53">
        <f>SUM(G473:G474)</f>
        <v>738357.24</v>
      </c>
      <c r="H475" s="53">
        <f>SUM(H473:H474)</f>
        <v>764435.34</v>
      </c>
      <c r="I475" s="53">
        <f>SUM(I473:I474)</f>
        <v>4907646.9000000004</v>
      </c>
      <c r="J475" s="53">
        <f>SUM(J473:J474)</f>
        <v>11500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1524074.9599999934</v>
      </c>
      <c r="G477" s="53">
        <f>(G466+G471)- G475</f>
        <v>63644.940000000061</v>
      </c>
      <c r="H477" s="53">
        <f>(H466+H471)- H475</f>
        <v>47591.319999999832</v>
      </c>
      <c r="I477" s="53">
        <f>(I466+I471)- I475</f>
        <v>-1907420.5000000005</v>
      </c>
      <c r="J477" s="53">
        <f>(J466+J471)- J475</f>
        <v>1443989.94</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10</v>
      </c>
      <c r="G491" s="154"/>
      <c r="H491" s="154"/>
      <c r="I491" s="154">
        <v>20</v>
      </c>
      <c r="J491" s="154">
        <v>20</v>
      </c>
      <c r="K491" s="24" t="s">
        <v>288</v>
      </c>
      <c r="L491" s="24" t="s">
        <v>288</v>
      </c>
      <c r="N491" s="265"/>
    </row>
    <row r="492" spans="1:14" s="52" customFormat="1" ht="12.2" customHeight="1" x14ac:dyDescent="0.2">
      <c r="A492" s="22" t="s">
        <v>615</v>
      </c>
      <c r="B492" s="75">
        <v>20</v>
      </c>
      <c r="C492" s="115">
        <v>2</v>
      </c>
      <c r="D492" s="2" t="s">
        <v>432</v>
      </c>
      <c r="E492" s="115"/>
      <c r="F492" s="155" t="s">
        <v>1642</v>
      </c>
      <c r="G492" s="155"/>
      <c r="H492" s="154"/>
      <c r="I492" s="342" t="s">
        <v>1644</v>
      </c>
      <c r="J492" s="342" t="s">
        <v>1645</v>
      </c>
      <c r="K492" s="24" t="s">
        <v>288</v>
      </c>
      <c r="L492" s="24" t="s">
        <v>288</v>
      </c>
      <c r="N492" s="265"/>
    </row>
    <row r="493" spans="1:14" s="52" customFormat="1" ht="12.2" customHeight="1" x14ac:dyDescent="0.2">
      <c r="A493" s="22" t="s">
        <v>616</v>
      </c>
      <c r="B493" s="75">
        <v>20</v>
      </c>
      <c r="C493" s="115">
        <v>3</v>
      </c>
      <c r="D493" s="2" t="s">
        <v>432</v>
      </c>
      <c r="E493" s="115"/>
      <c r="F493" s="155" t="s">
        <v>1643</v>
      </c>
      <c r="G493" s="155"/>
      <c r="H493" s="154"/>
      <c r="I493" s="342" t="s">
        <v>1646</v>
      </c>
      <c r="J493" s="342" t="s">
        <v>1647</v>
      </c>
      <c r="K493" s="24" t="s">
        <v>288</v>
      </c>
      <c r="L493" s="24" t="s">
        <v>288</v>
      </c>
      <c r="N493" s="265"/>
    </row>
    <row r="494" spans="1:14" s="52" customFormat="1" ht="12.2" customHeight="1" x14ac:dyDescent="0.2">
      <c r="A494" s="22" t="s">
        <v>617</v>
      </c>
      <c r="B494" s="75">
        <v>20</v>
      </c>
      <c r="C494" s="115">
        <v>4</v>
      </c>
      <c r="D494" s="2" t="s">
        <v>432</v>
      </c>
      <c r="E494" s="115"/>
      <c r="F494" s="18">
        <v>1500000</v>
      </c>
      <c r="G494" s="18"/>
      <c r="H494" s="18"/>
      <c r="I494" s="18">
        <v>2300000</v>
      </c>
      <c r="J494" s="18">
        <v>20406711</v>
      </c>
      <c r="K494" s="24" t="s">
        <v>288</v>
      </c>
      <c r="L494" s="24" t="s">
        <v>288</v>
      </c>
      <c r="N494" s="265"/>
    </row>
    <row r="495" spans="1:14" s="52" customFormat="1" ht="12.2" customHeight="1" x14ac:dyDescent="0.2">
      <c r="A495" s="22" t="s">
        <v>618</v>
      </c>
      <c r="B495" s="75">
        <v>20</v>
      </c>
      <c r="C495" s="115">
        <v>5</v>
      </c>
      <c r="D495" s="2" t="s">
        <v>432</v>
      </c>
      <c r="E495" s="115"/>
      <c r="F495" s="18">
        <v>1.88</v>
      </c>
      <c r="G495" s="18"/>
      <c r="H495" s="18"/>
      <c r="I495" s="18">
        <v>4.22</v>
      </c>
      <c r="J495" s="18">
        <v>4.09</v>
      </c>
      <c r="K495" s="24" t="s">
        <v>288</v>
      </c>
      <c r="L495" s="24" t="s">
        <v>288</v>
      </c>
      <c r="N495" s="265"/>
    </row>
    <row r="496" spans="1:14" s="52" customFormat="1" ht="12.2" customHeight="1" x14ac:dyDescent="0.2">
      <c r="A496" s="22" t="s">
        <v>619</v>
      </c>
      <c r="B496" s="75">
        <v>20</v>
      </c>
      <c r="C496" s="115">
        <v>6</v>
      </c>
      <c r="D496" s="2" t="s">
        <v>432</v>
      </c>
      <c r="E496" s="115"/>
      <c r="F496" s="18">
        <v>1200000</v>
      </c>
      <c r="G496" s="18"/>
      <c r="H496" s="18"/>
      <c r="I496" s="18">
        <v>345000</v>
      </c>
      <c r="J496" s="18">
        <v>4080000</v>
      </c>
      <c r="K496" s="53">
        <f>SUM(F496:J496)</f>
        <v>5625000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150000</v>
      </c>
      <c r="G498" s="18"/>
      <c r="H498" s="18"/>
      <c r="I498" s="18">
        <v>115000</v>
      </c>
      <c r="J498" s="18">
        <v>1020000</v>
      </c>
      <c r="K498" s="53">
        <f t="shared" si="35"/>
        <v>1285000</v>
      </c>
      <c r="L498" s="24" t="s">
        <v>288</v>
      </c>
      <c r="N498" s="265"/>
    </row>
    <row r="499" spans="1:14" s="52" customFormat="1" ht="12.2" customHeight="1" x14ac:dyDescent="0.2">
      <c r="A499" s="200" t="s">
        <v>622</v>
      </c>
      <c r="B499" s="201">
        <v>20</v>
      </c>
      <c r="C499" s="202">
        <v>9</v>
      </c>
      <c r="D499" s="203" t="s">
        <v>432</v>
      </c>
      <c r="E499" s="202"/>
      <c r="F499" s="204">
        <v>1050000</v>
      </c>
      <c r="G499" s="204"/>
      <c r="H499" s="204"/>
      <c r="I499" s="204">
        <v>230000</v>
      </c>
      <c r="J499" s="204">
        <v>3060000</v>
      </c>
      <c r="K499" s="205">
        <f t="shared" si="35"/>
        <v>4340000</v>
      </c>
      <c r="L499" s="206" t="s">
        <v>288</v>
      </c>
      <c r="N499" s="265"/>
    </row>
    <row r="500" spans="1:14" s="52" customFormat="1" ht="12.2" customHeight="1" thickBot="1" x14ac:dyDescent="0.25">
      <c r="A500" s="22" t="s">
        <v>623</v>
      </c>
      <c r="B500" s="75">
        <v>20</v>
      </c>
      <c r="C500" s="115">
        <v>10</v>
      </c>
      <c r="D500" s="2" t="s">
        <v>432</v>
      </c>
      <c r="E500" s="115"/>
      <c r="F500" s="18">
        <v>77878.36</v>
      </c>
      <c r="G500" s="18"/>
      <c r="H500" s="18"/>
      <c r="I500" s="18">
        <v>10781.25</v>
      </c>
      <c r="J500" s="18">
        <v>213180</v>
      </c>
      <c r="K500" s="53">
        <f t="shared" si="35"/>
        <v>301839.61</v>
      </c>
      <c r="L500" s="24" t="s">
        <v>288</v>
      </c>
      <c r="N500" s="265"/>
    </row>
    <row r="501" spans="1:14" s="52" customFormat="1" ht="12.2" customHeight="1" thickTop="1" x14ac:dyDescent="0.2">
      <c r="A501" s="139" t="s">
        <v>624</v>
      </c>
      <c r="B501" s="44">
        <v>20</v>
      </c>
      <c r="C501" s="195">
        <v>11</v>
      </c>
      <c r="D501" s="39" t="s">
        <v>432</v>
      </c>
      <c r="E501" s="195"/>
      <c r="F501" s="42">
        <f>SUM(F499:F500)</f>
        <v>1127878.3600000001</v>
      </c>
      <c r="G501" s="42">
        <f>SUM(G499:G500)</f>
        <v>0</v>
      </c>
      <c r="H501" s="42">
        <f>SUM(H499:H500)</f>
        <v>0</v>
      </c>
      <c r="I501" s="42">
        <f>SUM(I499:I500)</f>
        <v>240781.25</v>
      </c>
      <c r="J501" s="42">
        <f>SUM(J499:J500)</f>
        <v>3273180</v>
      </c>
      <c r="K501" s="42">
        <f t="shared" si="35"/>
        <v>4641839.6100000003</v>
      </c>
      <c r="L501" s="45" t="s">
        <v>288</v>
      </c>
      <c r="N501" s="265"/>
    </row>
    <row r="502" spans="1:14" s="52" customFormat="1" ht="12.2" customHeight="1" x14ac:dyDescent="0.2">
      <c r="A502" s="200" t="s">
        <v>651</v>
      </c>
      <c r="B502" s="201">
        <v>20</v>
      </c>
      <c r="C502" s="202">
        <v>12</v>
      </c>
      <c r="D502" s="203" t="s">
        <v>432</v>
      </c>
      <c r="E502" s="202"/>
      <c r="F502" s="204">
        <v>150000</v>
      </c>
      <c r="G502" s="204"/>
      <c r="H502" s="204"/>
      <c r="I502" s="204">
        <v>115000</v>
      </c>
      <c r="J502" s="204">
        <v>1020000</v>
      </c>
      <c r="K502" s="205">
        <f t="shared" si="35"/>
        <v>1285000</v>
      </c>
      <c r="L502" s="206" t="s">
        <v>288</v>
      </c>
      <c r="N502" s="265"/>
    </row>
    <row r="503" spans="1:14" s="52" customFormat="1" ht="12.2" customHeight="1" thickBot="1" x14ac:dyDescent="0.25">
      <c r="A503" s="22" t="s">
        <v>625</v>
      </c>
      <c r="B503" s="75">
        <v>20</v>
      </c>
      <c r="C503" s="115">
        <v>13</v>
      </c>
      <c r="D503" s="2" t="s">
        <v>432</v>
      </c>
      <c r="E503" s="115"/>
      <c r="F503" s="18">
        <v>19469.59</v>
      </c>
      <c r="G503" s="18"/>
      <c r="H503" s="18"/>
      <c r="I503" s="18">
        <v>8078.75</v>
      </c>
      <c r="J503" s="18">
        <v>117810</v>
      </c>
      <c r="K503" s="53">
        <f t="shared" si="35"/>
        <v>145358.34</v>
      </c>
      <c r="L503" s="24" t="s">
        <v>288</v>
      </c>
      <c r="N503" s="265"/>
    </row>
    <row r="504" spans="1:14" s="52" customFormat="1" ht="12.2" customHeight="1" thickTop="1" x14ac:dyDescent="0.2">
      <c r="A504" s="139" t="s">
        <v>626</v>
      </c>
      <c r="B504" s="44">
        <v>20</v>
      </c>
      <c r="C504" s="195">
        <v>14</v>
      </c>
      <c r="D504" s="39" t="s">
        <v>432</v>
      </c>
      <c r="E504" s="195"/>
      <c r="F504" s="42">
        <f>SUM(F502:F503)</f>
        <v>169469.59</v>
      </c>
      <c r="G504" s="42">
        <f>SUM(G502:G503)</f>
        <v>0</v>
      </c>
      <c r="H504" s="42">
        <f>SUM(H502:H503)</f>
        <v>0</v>
      </c>
      <c r="I504" s="42">
        <f>SUM(I502:I503)</f>
        <v>123078.75</v>
      </c>
      <c r="J504" s="42">
        <f>SUM(J502:J503)</f>
        <v>1137810</v>
      </c>
      <c r="K504" s="42">
        <f t="shared" si="35"/>
        <v>1430358.3399999999</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1125489.2000000002</v>
      </c>
      <c r="G522" s="18">
        <v>417278.82000000007</v>
      </c>
      <c r="H522" s="18">
        <v>362021.62</v>
      </c>
      <c r="I522" s="18">
        <v>8219.7200000000012</v>
      </c>
      <c r="J522" s="18">
        <v>0</v>
      </c>
      <c r="K522" s="18">
        <v>4253.92</v>
      </c>
      <c r="L522" s="88">
        <f>SUM(F522:K522)</f>
        <v>1917263.28</v>
      </c>
      <c r="N522" s="265"/>
    </row>
    <row r="523" spans="1:14" s="52" customFormat="1" ht="12.2" customHeight="1" x14ac:dyDescent="0.2">
      <c r="A523" s="22" t="s">
        <v>634</v>
      </c>
      <c r="B523" s="105">
        <v>21</v>
      </c>
      <c r="C523" s="115">
        <v>2</v>
      </c>
      <c r="D523" s="2" t="s">
        <v>432</v>
      </c>
      <c r="E523" s="115"/>
      <c r="F523" s="18">
        <v>1464082.99</v>
      </c>
      <c r="G523" s="18">
        <v>678752.21999999986</v>
      </c>
      <c r="H523" s="18">
        <v>298836.39</v>
      </c>
      <c r="I523" s="18">
        <v>7274.62</v>
      </c>
      <c r="J523" s="18">
        <v>276.18</v>
      </c>
      <c r="K523" s="18">
        <v>4012.56</v>
      </c>
      <c r="L523" s="88">
        <f>SUM(F523:K523)</f>
        <v>2453234.9600000004</v>
      </c>
      <c r="N523" s="265"/>
    </row>
    <row r="524" spans="1:14" s="52" customFormat="1" ht="12.2" customHeight="1" thickBot="1" x14ac:dyDescent="0.25">
      <c r="A524" s="22" t="s">
        <v>635</v>
      </c>
      <c r="B524" s="105">
        <v>21</v>
      </c>
      <c r="C524" s="115">
        <v>3</v>
      </c>
      <c r="D524" s="2" t="s">
        <v>432</v>
      </c>
      <c r="E524" s="115"/>
      <c r="F524" s="18">
        <v>1370316.85</v>
      </c>
      <c r="G524" s="18">
        <v>677236.95999999985</v>
      </c>
      <c r="H524" s="18">
        <v>378664.4</v>
      </c>
      <c r="I524" s="18">
        <v>8243.82</v>
      </c>
      <c r="J524" s="18">
        <v>0</v>
      </c>
      <c r="K524" s="18">
        <v>5020.22</v>
      </c>
      <c r="L524" s="88">
        <f>SUM(F524:K524)</f>
        <v>2439482.25</v>
      </c>
      <c r="N524" s="265"/>
    </row>
    <row r="525" spans="1:14" s="52" customFormat="1" ht="12.2" customHeight="1" thickTop="1" x14ac:dyDescent="0.2">
      <c r="A525" s="139" t="s">
        <v>63</v>
      </c>
      <c r="B525" s="107">
        <v>21</v>
      </c>
      <c r="C525" s="195">
        <v>4</v>
      </c>
      <c r="D525" s="196" t="s">
        <v>432</v>
      </c>
      <c r="E525" s="195"/>
      <c r="F525" s="108">
        <f>SUM(F522:F524)</f>
        <v>3959889.0400000005</v>
      </c>
      <c r="G525" s="108">
        <f t="shared" ref="G525:L525" si="36">SUM(G522:G524)</f>
        <v>1773268</v>
      </c>
      <c r="H525" s="108">
        <f t="shared" si="36"/>
        <v>1039522.41</v>
      </c>
      <c r="I525" s="108">
        <f t="shared" si="36"/>
        <v>23738.16</v>
      </c>
      <c r="J525" s="108">
        <f t="shared" si="36"/>
        <v>276.18</v>
      </c>
      <c r="K525" s="108">
        <f t="shared" si="36"/>
        <v>13286.7</v>
      </c>
      <c r="L525" s="89">
        <f t="shared" si="36"/>
        <v>6809980.4900000002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436851.42</v>
      </c>
      <c r="G527" s="18">
        <v>203345.21</v>
      </c>
      <c r="H527" s="18">
        <v>205425.09999999998</v>
      </c>
      <c r="I527" s="18">
        <v>4991.4000000000005</v>
      </c>
      <c r="J527" s="18"/>
      <c r="K527" s="18"/>
      <c r="L527" s="88">
        <f>SUM(F527:K527)</f>
        <v>850613.13</v>
      </c>
      <c r="M527" s="8"/>
      <c r="N527" s="266"/>
    </row>
    <row r="528" spans="1:14" s="3" customFormat="1" ht="12.2" customHeight="1" x14ac:dyDescent="0.15">
      <c r="A528" s="22" t="s">
        <v>634</v>
      </c>
      <c r="B528" s="105">
        <v>21</v>
      </c>
      <c r="C528" s="115">
        <v>6</v>
      </c>
      <c r="D528" s="2" t="s">
        <v>432</v>
      </c>
      <c r="E528" s="115"/>
      <c r="F528" s="18">
        <v>216380</v>
      </c>
      <c r="G528" s="18">
        <v>130431.31</v>
      </c>
      <c r="H528" s="18">
        <v>197590.56</v>
      </c>
      <c r="I528" s="18">
        <v>1675.5899999999997</v>
      </c>
      <c r="J528" s="18">
        <v>2244.09</v>
      </c>
      <c r="K528" s="18"/>
      <c r="L528" s="88">
        <f>SUM(F528:K528)</f>
        <v>548321.54999999993</v>
      </c>
      <c r="M528" s="8"/>
      <c r="N528" s="266"/>
    </row>
    <row r="529" spans="1:14" s="3" customFormat="1" ht="12.2" customHeight="1" thickBot="1" x14ac:dyDescent="0.2">
      <c r="A529" s="22" t="s">
        <v>635</v>
      </c>
      <c r="B529" s="118">
        <v>21</v>
      </c>
      <c r="C529" s="118">
        <v>7</v>
      </c>
      <c r="D529" s="2" t="s">
        <v>432</v>
      </c>
      <c r="E529" s="118"/>
      <c r="F529" s="18">
        <v>306066.36000000004</v>
      </c>
      <c r="G529" s="18">
        <v>123309.13</v>
      </c>
      <c r="H529" s="18">
        <v>258428.85000000003</v>
      </c>
      <c r="I529" s="18">
        <v>2812.3299999999995</v>
      </c>
      <c r="J529" s="18"/>
      <c r="K529" s="18"/>
      <c r="L529" s="88">
        <f>SUM(F529:K529)</f>
        <v>690616.67</v>
      </c>
      <c r="M529" s="8"/>
      <c r="N529" s="266"/>
    </row>
    <row r="530" spans="1:14" s="3" customFormat="1" ht="12.2" customHeight="1" thickTop="1" x14ac:dyDescent="0.15">
      <c r="A530" s="139" t="s">
        <v>65</v>
      </c>
      <c r="B530" s="107">
        <v>21</v>
      </c>
      <c r="C530" s="107">
        <v>8</v>
      </c>
      <c r="D530" s="158" t="s">
        <v>432</v>
      </c>
      <c r="E530" s="107"/>
      <c r="F530" s="89">
        <f>SUM(F527:F529)</f>
        <v>959297.78</v>
      </c>
      <c r="G530" s="89">
        <f t="shared" ref="G530:L530" si="37">SUM(G527:G529)</f>
        <v>457085.65</v>
      </c>
      <c r="H530" s="89">
        <f t="shared" si="37"/>
        <v>661444.51</v>
      </c>
      <c r="I530" s="89">
        <f t="shared" si="37"/>
        <v>9479.32</v>
      </c>
      <c r="J530" s="89">
        <f t="shared" si="37"/>
        <v>2244.09</v>
      </c>
      <c r="K530" s="89">
        <f t="shared" si="37"/>
        <v>0</v>
      </c>
      <c r="L530" s="89">
        <f t="shared" si="37"/>
        <v>2089551.35</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141563.97999999998</v>
      </c>
      <c r="G532" s="18">
        <v>75613.73</v>
      </c>
      <c r="H532" s="18">
        <v>4157</v>
      </c>
      <c r="I532" s="18">
        <v>75.400000000000006</v>
      </c>
      <c r="J532" s="18">
        <v>0</v>
      </c>
      <c r="K532" s="18">
        <v>877.25</v>
      </c>
      <c r="L532" s="88">
        <f>SUM(F532:K532)</f>
        <v>222287.35999999996</v>
      </c>
      <c r="M532" s="8"/>
      <c r="N532" s="266"/>
    </row>
    <row r="533" spans="1:14" s="3" customFormat="1" ht="12.2" customHeight="1" x14ac:dyDescent="0.15">
      <c r="A533" s="22" t="s">
        <v>634</v>
      </c>
      <c r="B533" s="105">
        <v>21</v>
      </c>
      <c r="C533" s="105">
        <v>10</v>
      </c>
      <c r="D533" s="2" t="s">
        <v>432</v>
      </c>
      <c r="E533" s="105"/>
      <c r="F533" s="18">
        <v>140753.89000000001</v>
      </c>
      <c r="G533" s="18">
        <v>74835.289999999994</v>
      </c>
      <c r="H533" s="18">
        <v>3921.1499999999996</v>
      </c>
      <c r="I533" s="18">
        <v>71.13</v>
      </c>
      <c r="J533" s="18">
        <v>0</v>
      </c>
      <c r="K533" s="18">
        <v>827.48</v>
      </c>
      <c r="L533" s="88">
        <f>SUM(F533:K533)</f>
        <v>220408.94</v>
      </c>
      <c r="M533" s="8"/>
      <c r="N533" s="266"/>
    </row>
    <row r="534" spans="1:14" s="3" customFormat="1" ht="12.2" customHeight="1" thickBot="1" x14ac:dyDescent="0.2">
      <c r="A534" s="22" t="s">
        <v>635</v>
      </c>
      <c r="B534" s="105">
        <v>21</v>
      </c>
      <c r="C534" s="105">
        <v>11</v>
      </c>
      <c r="D534" s="2" t="s">
        <v>432</v>
      </c>
      <c r="E534" s="105"/>
      <c r="F534" s="18">
        <v>150499.74</v>
      </c>
      <c r="G534" s="18">
        <v>79840.08</v>
      </c>
      <c r="H534" s="18">
        <v>4905.8400000000011</v>
      </c>
      <c r="I534" s="18">
        <v>88.99</v>
      </c>
      <c r="J534" s="18">
        <v>0</v>
      </c>
      <c r="K534" s="18">
        <v>1035.27</v>
      </c>
      <c r="L534" s="88">
        <f>SUM(F534:K534)</f>
        <v>236369.91999999998</v>
      </c>
      <c r="M534" s="8"/>
      <c r="N534" s="266"/>
    </row>
    <row r="535" spans="1:14" s="3" customFormat="1" ht="12.2" customHeight="1" thickTop="1" x14ac:dyDescent="0.15">
      <c r="A535" s="139" t="s">
        <v>67</v>
      </c>
      <c r="B535" s="107">
        <v>21</v>
      </c>
      <c r="C535" s="107">
        <v>12</v>
      </c>
      <c r="D535" s="158" t="s">
        <v>432</v>
      </c>
      <c r="E535" s="107"/>
      <c r="F535" s="89">
        <f>SUM(F532:F534)</f>
        <v>432817.61</v>
      </c>
      <c r="G535" s="89">
        <f t="shared" ref="G535:L535" si="38">SUM(G532:G534)</f>
        <v>230289.09999999998</v>
      </c>
      <c r="H535" s="89">
        <f t="shared" si="38"/>
        <v>12983.990000000002</v>
      </c>
      <c r="I535" s="89">
        <f t="shared" si="38"/>
        <v>235.51999999999998</v>
      </c>
      <c r="J535" s="89">
        <f t="shared" si="38"/>
        <v>0</v>
      </c>
      <c r="K535" s="89">
        <f t="shared" si="38"/>
        <v>2740</v>
      </c>
      <c r="L535" s="89">
        <f t="shared" si="38"/>
        <v>679066.22</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5722.61</v>
      </c>
      <c r="I537" s="18"/>
      <c r="J537" s="18"/>
      <c r="K537" s="18"/>
      <c r="L537" s="88">
        <f>SUM(F537:K537)</f>
        <v>5722.61</v>
      </c>
      <c r="M537" s="8"/>
      <c r="N537" s="266"/>
    </row>
    <row r="538" spans="1:14" s="3" customFormat="1" ht="12.2" customHeight="1" x14ac:dyDescent="0.15">
      <c r="A538" s="22" t="s">
        <v>634</v>
      </c>
      <c r="B538" s="105">
        <v>21</v>
      </c>
      <c r="C538" s="105">
        <v>14</v>
      </c>
      <c r="D538" s="2" t="s">
        <v>432</v>
      </c>
      <c r="E538" s="105"/>
      <c r="F538" s="18"/>
      <c r="G538" s="18"/>
      <c r="H538" s="18">
        <v>5397.92</v>
      </c>
      <c r="I538" s="18"/>
      <c r="J538" s="18"/>
      <c r="K538" s="18"/>
      <c r="L538" s="88">
        <f>SUM(F538:K538)</f>
        <v>5397.92</v>
      </c>
      <c r="M538" s="8"/>
      <c r="N538" s="266"/>
    </row>
    <row r="539" spans="1:14" s="3" customFormat="1" ht="12.2" customHeight="1" thickBot="1" x14ac:dyDescent="0.2">
      <c r="A539" s="22" t="s">
        <v>635</v>
      </c>
      <c r="B539" s="105">
        <v>21</v>
      </c>
      <c r="C539" s="105">
        <v>15</v>
      </c>
      <c r="D539" s="2" t="s">
        <v>432</v>
      </c>
      <c r="E539" s="105"/>
      <c r="F539" s="18"/>
      <c r="G539" s="18"/>
      <c r="H539" s="18">
        <v>6753.5</v>
      </c>
      <c r="I539" s="18"/>
      <c r="J539" s="18"/>
      <c r="K539" s="18"/>
      <c r="L539" s="88">
        <f>SUM(F539:K539)</f>
        <v>6753.5</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17874.03</v>
      </c>
      <c r="I540" s="89">
        <f t="shared" si="39"/>
        <v>0</v>
      </c>
      <c r="J540" s="89">
        <f t="shared" si="39"/>
        <v>0</v>
      </c>
      <c r="K540" s="89">
        <f t="shared" si="39"/>
        <v>0</v>
      </c>
      <c r="L540" s="89">
        <f t="shared" si="39"/>
        <v>17874.03</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49378.83</v>
      </c>
      <c r="G542" s="18">
        <v>35068.720000000001</v>
      </c>
      <c r="H542" s="18">
        <v>7148</v>
      </c>
      <c r="I542" s="18">
        <v>4614.76</v>
      </c>
      <c r="J542" s="18"/>
      <c r="K542" s="18"/>
      <c r="L542" s="88">
        <f>SUM(F542:K542)</f>
        <v>96210.31</v>
      </c>
      <c r="M542" s="8"/>
      <c r="N542" s="266"/>
    </row>
    <row r="543" spans="1:14" s="3" customFormat="1" ht="12.2" customHeight="1" x14ac:dyDescent="0.15">
      <c r="A543" s="22" t="s">
        <v>634</v>
      </c>
      <c r="B543" s="105">
        <v>21</v>
      </c>
      <c r="C543" s="105">
        <v>18</v>
      </c>
      <c r="D543" s="2" t="s">
        <v>432</v>
      </c>
      <c r="E543" s="105"/>
      <c r="F543" s="18">
        <v>46577.19</v>
      </c>
      <c r="G543" s="18">
        <v>33078.990000000005</v>
      </c>
      <c r="H543" s="18">
        <v>6742.44</v>
      </c>
      <c r="I543" s="18">
        <v>4352.93</v>
      </c>
      <c r="J543" s="18"/>
      <c r="K543" s="18"/>
      <c r="L543" s="88">
        <f>SUM(F543:K543)</f>
        <v>90751.550000000017</v>
      </c>
      <c r="M543" s="8"/>
      <c r="N543" s="266"/>
    </row>
    <row r="544" spans="1:14" s="3" customFormat="1" ht="12.2" customHeight="1" thickBot="1" x14ac:dyDescent="0.2">
      <c r="A544" s="22" t="s">
        <v>635</v>
      </c>
      <c r="B544" s="105">
        <v>21</v>
      </c>
      <c r="C544" s="105">
        <v>19</v>
      </c>
      <c r="D544" s="2" t="s">
        <v>432</v>
      </c>
      <c r="E544" s="105"/>
      <c r="F544" s="18">
        <v>58274.03</v>
      </c>
      <c r="G544" s="18">
        <v>41386.04</v>
      </c>
      <c r="H544" s="18">
        <v>8435.66</v>
      </c>
      <c r="I544" s="18">
        <v>5446.0599999999995</v>
      </c>
      <c r="J544" s="18"/>
      <c r="K544" s="18"/>
      <c r="L544" s="88">
        <f>SUM(F544:K544)</f>
        <v>113541.79000000001</v>
      </c>
      <c r="M544" s="8"/>
      <c r="N544" s="266"/>
    </row>
    <row r="545" spans="1:14" s="3" customFormat="1" ht="12.2" customHeight="1" thickTop="1" thickBot="1" x14ac:dyDescent="0.2">
      <c r="A545" s="130" t="s">
        <v>71</v>
      </c>
      <c r="B545" s="191">
        <v>21</v>
      </c>
      <c r="C545" s="191">
        <v>20</v>
      </c>
      <c r="D545" s="192" t="s">
        <v>432</v>
      </c>
      <c r="E545" s="191"/>
      <c r="F545" s="193">
        <f>SUM(F542:F544)</f>
        <v>154230.04999999999</v>
      </c>
      <c r="G545" s="193">
        <f t="shared" ref="G545:L545" si="40">SUM(G542:G544)</f>
        <v>109533.75</v>
      </c>
      <c r="H545" s="193">
        <f t="shared" si="40"/>
        <v>22326.1</v>
      </c>
      <c r="I545" s="193">
        <f t="shared" si="40"/>
        <v>14413.75</v>
      </c>
      <c r="J545" s="193">
        <f t="shared" si="40"/>
        <v>0</v>
      </c>
      <c r="K545" s="193">
        <f t="shared" si="40"/>
        <v>0</v>
      </c>
      <c r="L545" s="193">
        <f t="shared" si="40"/>
        <v>300503.65000000002</v>
      </c>
      <c r="M545" s="8"/>
      <c r="N545" s="266"/>
    </row>
    <row r="546" spans="1:14" s="3" customFormat="1" ht="12.2" customHeight="1" thickTop="1" x14ac:dyDescent="0.15">
      <c r="A546" s="98" t="s">
        <v>72</v>
      </c>
      <c r="B546" s="107">
        <v>21</v>
      </c>
      <c r="C546" s="107">
        <v>21</v>
      </c>
      <c r="D546" s="158" t="s">
        <v>432</v>
      </c>
      <c r="E546" s="107"/>
      <c r="F546" s="89">
        <f>F525+F530+F535+F540+F545</f>
        <v>5506234.4800000004</v>
      </c>
      <c r="G546" s="89">
        <f t="shared" ref="G546:L546" si="41">G525+G530+G535+G540+G545</f>
        <v>2570176.5</v>
      </c>
      <c r="H546" s="89">
        <f t="shared" si="41"/>
        <v>1754151.04</v>
      </c>
      <c r="I546" s="89">
        <f t="shared" si="41"/>
        <v>47866.749999999993</v>
      </c>
      <c r="J546" s="89">
        <f t="shared" si="41"/>
        <v>2520.27</v>
      </c>
      <c r="K546" s="89">
        <f t="shared" si="41"/>
        <v>16026.7</v>
      </c>
      <c r="L546" s="89">
        <f t="shared" si="41"/>
        <v>9896975.7400000002</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1917263.28</v>
      </c>
      <c r="G550" s="87">
        <f>L527</f>
        <v>850613.13</v>
      </c>
      <c r="H550" s="87">
        <f>L532</f>
        <v>222287.35999999996</v>
      </c>
      <c r="I550" s="87">
        <f>L537</f>
        <v>5722.61</v>
      </c>
      <c r="J550" s="87">
        <f>L542</f>
        <v>96210.31</v>
      </c>
      <c r="K550" s="87">
        <f>SUM(F550:J550)</f>
        <v>3092096.69</v>
      </c>
      <c r="L550" s="24" t="s">
        <v>288</v>
      </c>
      <c r="M550" s="8"/>
      <c r="N550" s="266"/>
    </row>
    <row r="551" spans="1:14" s="3" customFormat="1" ht="12.2" customHeight="1" x14ac:dyDescent="0.15">
      <c r="A551" s="22" t="s">
        <v>634</v>
      </c>
      <c r="B551" s="75">
        <v>21</v>
      </c>
      <c r="C551" s="75">
        <v>23</v>
      </c>
      <c r="D551" s="2" t="s">
        <v>432</v>
      </c>
      <c r="E551" s="75"/>
      <c r="F551" s="87">
        <f>L523</f>
        <v>2453234.9600000004</v>
      </c>
      <c r="G551" s="87">
        <f>L528</f>
        <v>548321.54999999993</v>
      </c>
      <c r="H551" s="87">
        <f>L533</f>
        <v>220408.94</v>
      </c>
      <c r="I551" s="87">
        <f>L538</f>
        <v>5397.92</v>
      </c>
      <c r="J551" s="87">
        <f>L543</f>
        <v>90751.550000000017</v>
      </c>
      <c r="K551" s="87">
        <f>SUM(F551:J551)</f>
        <v>3318114.92</v>
      </c>
      <c r="L551" s="24" t="s">
        <v>288</v>
      </c>
      <c r="M551" s="8"/>
      <c r="N551" s="266"/>
    </row>
    <row r="552" spans="1:14" s="3" customFormat="1" ht="12.2" customHeight="1" thickBot="1" x14ac:dyDescent="0.2">
      <c r="A552" s="22" t="s">
        <v>635</v>
      </c>
      <c r="B552" s="75">
        <v>21</v>
      </c>
      <c r="C552" s="75">
        <v>24</v>
      </c>
      <c r="D552" s="2" t="s">
        <v>432</v>
      </c>
      <c r="E552" s="75"/>
      <c r="F552" s="87">
        <f>L524</f>
        <v>2439482.25</v>
      </c>
      <c r="G552" s="87">
        <f>L529</f>
        <v>690616.67</v>
      </c>
      <c r="H552" s="87">
        <f>L534</f>
        <v>236369.91999999998</v>
      </c>
      <c r="I552" s="87">
        <f>L539</f>
        <v>6753.5</v>
      </c>
      <c r="J552" s="87">
        <f>L544</f>
        <v>113541.79000000001</v>
      </c>
      <c r="K552" s="87">
        <f>SUM(F552:J552)</f>
        <v>3486764.13</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6809980.4900000002</v>
      </c>
      <c r="G553" s="89">
        <f t="shared" si="42"/>
        <v>2089551.35</v>
      </c>
      <c r="H553" s="89">
        <f t="shared" si="42"/>
        <v>679066.22</v>
      </c>
      <c r="I553" s="89">
        <f t="shared" si="42"/>
        <v>17874.03</v>
      </c>
      <c r="J553" s="89">
        <f t="shared" si="42"/>
        <v>300503.65000000002</v>
      </c>
      <c r="K553" s="89">
        <f t="shared" si="42"/>
        <v>9896975.7399999984</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78675</v>
      </c>
      <c r="G563" s="18">
        <v>40912.44</v>
      </c>
      <c r="H563" s="18">
        <v>69332.899999999994</v>
      </c>
      <c r="I563" s="18">
        <v>111.6</v>
      </c>
      <c r="J563" s="18"/>
      <c r="K563" s="18"/>
      <c r="L563" s="88">
        <f>SUM(F563:K563)</f>
        <v>189031.94</v>
      </c>
      <c r="M563" s="8"/>
      <c r="N563" s="266"/>
    </row>
    <row r="564" spans="1:14" s="3" customFormat="1" ht="12.2" customHeight="1" x14ac:dyDescent="0.15">
      <c r="A564" s="22" t="s">
        <v>634</v>
      </c>
      <c r="B564" s="105">
        <v>22</v>
      </c>
      <c r="C564" s="115">
        <v>6</v>
      </c>
      <c r="D564" s="2" t="s">
        <v>432</v>
      </c>
      <c r="E564" s="115"/>
      <c r="F564" s="18"/>
      <c r="G564" s="18"/>
      <c r="H564" s="18">
        <v>27701.16</v>
      </c>
      <c r="I564" s="18"/>
      <c r="J564" s="18"/>
      <c r="K564" s="18"/>
      <c r="L564" s="88">
        <f>SUM(F564:K564)</f>
        <v>27701.16</v>
      </c>
      <c r="M564" s="8"/>
      <c r="N564" s="266"/>
    </row>
    <row r="565" spans="1:14" s="3" customFormat="1" ht="12.2" customHeight="1" thickBot="1" x14ac:dyDescent="0.2">
      <c r="A565" s="22" t="s">
        <v>635</v>
      </c>
      <c r="B565" s="105">
        <v>22</v>
      </c>
      <c r="C565" s="118">
        <v>7</v>
      </c>
      <c r="D565" s="2" t="s">
        <v>432</v>
      </c>
      <c r="E565" s="118"/>
      <c r="F565" s="18"/>
      <c r="G565" s="18"/>
      <c r="H565" s="18">
        <v>27701.16</v>
      </c>
      <c r="I565" s="18"/>
      <c r="J565" s="18"/>
      <c r="K565" s="18"/>
      <c r="L565" s="88">
        <f>SUM(F565:K565)</f>
        <v>27701.16</v>
      </c>
      <c r="M565" s="8"/>
      <c r="N565" s="266"/>
    </row>
    <row r="566" spans="1:14" s="3" customFormat="1" ht="12.2" customHeight="1" thickTop="1" x14ac:dyDescent="0.15">
      <c r="A566" s="139" t="s">
        <v>65</v>
      </c>
      <c r="B566" s="107">
        <v>22</v>
      </c>
      <c r="C566" s="107">
        <v>8</v>
      </c>
      <c r="D566" s="196" t="s">
        <v>432</v>
      </c>
      <c r="E566" s="107"/>
      <c r="F566" s="89">
        <f t="shared" ref="F566:L566" si="44">SUM(F563:F565)</f>
        <v>78675</v>
      </c>
      <c r="G566" s="89">
        <f t="shared" si="44"/>
        <v>40912.44</v>
      </c>
      <c r="H566" s="89">
        <f t="shared" si="44"/>
        <v>124735.22</v>
      </c>
      <c r="I566" s="89">
        <f t="shared" si="44"/>
        <v>111.6</v>
      </c>
      <c r="J566" s="89">
        <f t="shared" si="44"/>
        <v>0</v>
      </c>
      <c r="K566" s="89">
        <f t="shared" si="44"/>
        <v>0</v>
      </c>
      <c r="L566" s="89">
        <f t="shared" si="44"/>
        <v>244434.26</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78675</v>
      </c>
      <c r="G572" s="89">
        <f t="shared" ref="G572:L572" si="46">G561+G566+G571</f>
        <v>40912.44</v>
      </c>
      <c r="H572" s="89">
        <f t="shared" si="46"/>
        <v>124735.22</v>
      </c>
      <c r="I572" s="89">
        <f t="shared" si="46"/>
        <v>111.6</v>
      </c>
      <c r="J572" s="89">
        <f t="shared" si="46"/>
        <v>0</v>
      </c>
      <c r="K572" s="89">
        <f t="shared" si="46"/>
        <v>0</v>
      </c>
      <c r="L572" s="89">
        <f t="shared" si="46"/>
        <v>244434.26</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479492.05</v>
      </c>
      <c r="G583" s="18"/>
      <c r="H583" s="18">
        <v>359867.92</v>
      </c>
      <c r="I583" s="87">
        <f t="shared" si="47"/>
        <v>839359.97</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38752.769999999997</v>
      </c>
      <c r="I585" s="87">
        <f t="shared" si="47"/>
        <v>38752.769999999997</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460543.12</v>
      </c>
      <c r="I592" s="18">
        <v>441149.02</v>
      </c>
      <c r="J592" s="18">
        <v>549284.82000000007</v>
      </c>
      <c r="K592" s="104">
        <f t="shared" ref="K592:K598" si="48">SUM(H592:J592)</f>
        <v>1450976.96</v>
      </c>
      <c r="L592" s="24" t="s">
        <v>288</v>
      </c>
      <c r="M592" s="8"/>
      <c r="N592" s="266"/>
    </row>
    <row r="593" spans="1:14" s="3" customFormat="1" ht="12.2" customHeight="1" x14ac:dyDescent="0.15">
      <c r="A593" s="3" t="s">
        <v>638</v>
      </c>
      <c r="B593" s="75">
        <v>23</v>
      </c>
      <c r="C593" s="75">
        <v>2</v>
      </c>
      <c r="D593" s="2" t="s">
        <v>432</v>
      </c>
      <c r="E593" s="75"/>
      <c r="F593" s="102">
        <v>2722</v>
      </c>
      <c r="G593" s="103" t="s">
        <v>97</v>
      </c>
      <c r="H593" s="18">
        <v>96210.3</v>
      </c>
      <c r="I593" s="18">
        <v>90751.56</v>
      </c>
      <c r="J593" s="18">
        <v>113541.79000000001</v>
      </c>
      <c r="K593" s="104">
        <f t="shared" si="48"/>
        <v>300503.65000000002</v>
      </c>
      <c r="L593" s="24" t="s">
        <v>288</v>
      </c>
      <c r="M593" s="8"/>
      <c r="N593" s="266"/>
    </row>
    <row r="594" spans="1:14" s="3" customFormat="1" ht="12.2" customHeight="1" x14ac:dyDescent="0.15">
      <c r="A594" s="3" t="s">
        <v>639</v>
      </c>
      <c r="B594" s="75">
        <v>23</v>
      </c>
      <c r="C594" s="75">
        <v>3</v>
      </c>
      <c r="D594" s="2" t="s">
        <v>432</v>
      </c>
      <c r="E594" s="75"/>
      <c r="F594" s="102">
        <v>2723</v>
      </c>
      <c r="G594" s="103" t="s">
        <v>97</v>
      </c>
      <c r="H594" s="18">
        <v>0</v>
      </c>
      <c r="I594" s="18">
        <v>0</v>
      </c>
      <c r="J594" s="18">
        <v>30536.560000000001</v>
      </c>
      <c r="K594" s="104">
        <f t="shared" si="48"/>
        <v>30536.560000000001</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8072.82</v>
      </c>
      <c r="I595" s="18">
        <v>7614.79</v>
      </c>
      <c r="J595" s="18">
        <v>9527.07</v>
      </c>
      <c r="K595" s="104">
        <f t="shared" si="48"/>
        <v>25214.68</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5061</v>
      </c>
      <c r="I596" s="18">
        <v>3428.29</v>
      </c>
      <c r="J596" s="18">
        <v>4289.22</v>
      </c>
      <c r="K596" s="104">
        <f t="shared" si="48"/>
        <v>12778.510000000002</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16502.62</v>
      </c>
      <c r="I598" s="18">
        <v>15566.3</v>
      </c>
      <c r="J598" s="18">
        <v>19475.45</v>
      </c>
      <c r="K598" s="104">
        <f t="shared" si="48"/>
        <v>51544.369999999995</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586389.86</v>
      </c>
      <c r="I599" s="108">
        <f>SUM(I592:I598)</f>
        <v>558509.9600000002</v>
      </c>
      <c r="J599" s="108">
        <f>SUM(J592:J598)</f>
        <v>726654.91</v>
      </c>
      <c r="K599" s="108">
        <f>SUM(K592:K598)</f>
        <v>1871554.73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68434.600000000006</v>
      </c>
      <c r="I605" s="18">
        <v>72847.03</v>
      </c>
      <c r="J605" s="18">
        <v>111900.58000000002</v>
      </c>
      <c r="K605" s="104">
        <f>SUM(H605:J605)</f>
        <v>253182.21000000002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68434.600000000006</v>
      </c>
      <c r="I606" s="108">
        <f>SUM(I603:I605)</f>
        <v>72847.03</v>
      </c>
      <c r="J606" s="108">
        <f>SUM(J603:J605)</f>
        <v>111900.58000000002</v>
      </c>
      <c r="K606" s="108">
        <f>SUM(K603:K605)</f>
        <v>253182.21000000002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v>4897.08</v>
      </c>
      <c r="G614" s="18">
        <v>1246.3600000000001</v>
      </c>
      <c r="H614" s="18"/>
      <c r="I614" s="18"/>
      <c r="J614" s="18"/>
      <c r="K614" s="18"/>
      <c r="L614" s="88">
        <f>SUM(F614:K614)</f>
        <v>6143.4400000000005</v>
      </c>
      <c r="M614" s="8"/>
      <c r="N614" s="266"/>
    </row>
    <row r="615" spans="1:14" s="3" customFormat="1" ht="12.2" customHeight="1" thickTop="1" x14ac:dyDescent="0.15">
      <c r="A615" s="98" t="s">
        <v>340</v>
      </c>
      <c r="B615" s="107">
        <v>23</v>
      </c>
      <c r="C615" s="107">
        <v>16</v>
      </c>
      <c r="D615" s="39" t="s">
        <v>432</v>
      </c>
      <c r="E615" s="107"/>
      <c r="F615" s="108">
        <f t="shared" ref="F615:L615" si="49">SUM(F612:F614)</f>
        <v>4897.08</v>
      </c>
      <c r="G615" s="108">
        <f t="shared" si="49"/>
        <v>1246.3600000000001</v>
      </c>
      <c r="H615" s="108">
        <f t="shared" si="49"/>
        <v>0</v>
      </c>
      <c r="I615" s="108">
        <f t="shared" si="49"/>
        <v>0</v>
      </c>
      <c r="J615" s="108">
        <f t="shared" si="49"/>
        <v>0</v>
      </c>
      <c r="K615" s="108">
        <f t="shared" si="49"/>
        <v>0</v>
      </c>
      <c r="L615" s="89">
        <f t="shared" si="49"/>
        <v>6143.4400000000005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2600334.8789999997</v>
      </c>
      <c r="H618" s="109">
        <f>SUM(F52)</f>
        <v>2600334.8789999997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142667.05999999991</v>
      </c>
      <c r="H619" s="109">
        <f>SUM(G52)</f>
        <v>142667.06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248419.04</v>
      </c>
      <c r="H620" s="109">
        <f>SUM(H52)</f>
        <v>248419.04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554815.4</v>
      </c>
      <c r="H621" s="109">
        <f>SUM(I52)</f>
        <v>554815.39999999991</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1455940.9377404037</v>
      </c>
      <c r="H622" s="109">
        <f>SUM(J52)</f>
        <v>1455940.94</v>
      </c>
      <c r="I622" s="121" t="s">
        <v>879</v>
      </c>
      <c r="J622" s="109">
        <f>G622-H622</f>
        <v>-2.2595962509512901E-3</v>
      </c>
      <c r="K622" s="109"/>
      <c r="L622" s="109"/>
      <c r="M622" s="8"/>
    </row>
    <row r="623" spans="1:14" s="3" customFormat="1" ht="12.2" customHeight="1" x14ac:dyDescent="0.15">
      <c r="A623" s="97"/>
      <c r="B623" s="105"/>
      <c r="C623" s="105"/>
      <c r="D623" s="105"/>
      <c r="E623" s="105"/>
      <c r="F623" s="121" t="s">
        <v>865</v>
      </c>
      <c r="G623" s="109">
        <f>F51</f>
        <v>1524074.96</v>
      </c>
      <c r="H623" s="109">
        <f>F477</f>
        <v>1524074.9599999934</v>
      </c>
      <c r="I623" s="121" t="s">
        <v>101</v>
      </c>
      <c r="J623" s="109">
        <f t="shared" ref="J623:J656" si="50">G623-H623</f>
        <v>6.5192580223083496E-9</v>
      </c>
      <c r="K623" s="109"/>
      <c r="L623" s="109"/>
      <c r="M623" s="8"/>
    </row>
    <row r="624" spans="1:14" s="3" customFormat="1" ht="12.2" customHeight="1" x14ac:dyDescent="0.15">
      <c r="A624" s="97"/>
      <c r="B624" s="105"/>
      <c r="C624" s="119"/>
      <c r="D624" s="119"/>
      <c r="E624" s="119"/>
      <c r="F624" s="119" t="s">
        <v>866</v>
      </c>
      <c r="G624" s="109">
        <f>G51</f>
        <v>63644.94</v>
      </c>
      <c r="H624" s="109">
        <f>G477</f>
        <v>63644.940000000061</v>
      </c>
      <c r="I624" s="121" t="s">
        <v>102</v>
      </c>
      <c r="J624" s="109">
        <f t="shared" si="50"/>
        <v>-5.8207660913467407E-11</v>
      </c>
      <c r="K624" s="109"/>
      <c r="L624" s="109"/>
      <c r="M624" s="8"/>
    </row>
    <row r="625" spans="1:13" s="3" customFormat="1" ht="12.2" customHeight="1" x14ac:dyDescent="0.15">
      <c r="A625" s="97"/>
      <c r="B625" s="105"/>
      <c r="C625" s="105"/>
      <c r="D625" s="105"/>
      <c r="E625" s="105"/>
      <c r="F625" s="120" t="s">
        <v>867</v>
      </c>
      <c r="G625" s="109">
        <f>H51</f>
        <v>47591.32</v>
      </c>
      <c r="H625" s="109">
        <f>H477</f>
        <v>47591.319999999832</v>
      </c>
      <c r="I625" s="121" t="s">
        <v>103</v>
      </c>
      <c r="J625" s="109">
        <f t="shared" si="50"/>
        <v>1.673470251262188E-10</v>
      </c>
      <c r="K625" s="109"/>
      <c r="L625" s="109"/>
      <c r="M625" s="8"/>
    </row>
    <row r="626" spans="1:13" s="3" customFormat="1" ht="12.2" customHeight="1" x14ac:dyDescent="0.15">
      <c r="A626" s="97"/>
      <c r="B626" s="105"/>
      <c r="C626" s="105"/>
      <c r="D626" s="105"/>
      <c r="E626" s="105"/>
      <c r="F626" s="120" t="s">
        <v>868</v>
      </c>
      <c r="G626" s="109">
        <f>I51</f>
        <v>-1907420.5</v>
      </c>
      <c r="H626" s="109">
        <f>I477</f>
        <v>-1907420.5000000005</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1443989.94</v>
      </c>
      <c r="H627" s="109">
        <f>J477</f>
        <v>1443989.94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45423259.379999995</v>
      </c>
      <c r="H628" s="104">
        <f>SUM(F469)</f>
        <v>45423259.379999995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736782.09000000008</v>
      </c>
      <c r="H629" s="104">
        <f>SUM(G469)</f>
        <v>736782.09000000008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698688.98</v>
      </c>
      <c r="H630" s="104">
        <f>SUM(H469)</f>
        <v>698688.98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3000226.4</v>
      </c>
      <c r="H631" s="104">
        <f>SUM(I469)</f>
        <v>3000226.4</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76256.73</v>
      </c>
      <c r="H632" s="104">
        <f>SUM(J469)</f>
        <v>76256.73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45019425.109999999</v>
      </c>
      <c r="H633" s="104">
        <f>SUM(F473)</f>
        <v>45019425.109999999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764435.34000000008</v>
      </c>
      <c r="H634" s="104">
        <f>SUM(H473)</f>
        <v>764435.34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280577.58999999997</v>
      </c>
      <c r="H635" s="104">
        <f>I370</f>
        <v>280577.59000000003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738357.24</v>
      </c>
      <c r="H636" s="104">
        <f>SUM(G473)</f>
        <v>738357.24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4907646.9000000004</v>
      </c>
      <c r="H637" s="104">
        <f>SUM(I473)</f>
        <v>4907646.9000000004</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76256.73</v>
      </c>
      <c r="H638" s="164">
        <f>SUM(J469)</f>
        <v>76256.73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11500</v>
      </c>
      <c r="H639" s="164">
        <f>SUM(J473)</f>
        <v>11500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281070.7877404039</v>
      </c>
      <c r="H640" s="104">
        <f>SUM(F462)</f>
        <v>281070.78999999998</v>
      </c>
      <c r="I640" s="140" t="s">
        <v>841</v>
      </c>
      <c r="J640" s="109">
        <f t="shared" si="50"/>
        <v>-2.2595960763283074E-3</v>
      </c>
      <c r="K640" s="85"/>
      <c r="L640" s="88"/>
      <c r="M640" s="8"/>
    </row>
    <row r="641" spans="1:13" s="3" customFormat="1" ht="12.2" customHeight="1" x14ac:dyDescent="0.15">
      <c r="A641" s="22"/>
      <c r="B641" s="105"/>
      <c r="C641" s="105"/>
      <c r="D641" s="105"/>
      <c r="E641" s="105"/>
      <c r="F641" s="120" t="s">
        <v>119</v>
      </c>
      <c r="G641" s="109">
        <f>SUM(G447)</f>
        <v>1174870.1499999999</v>
      </c>
      <c r="H641" s="104">
        <f>SUM(G462)</f>
        <v>1174870.1499999999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1455940.9377404037</v>
      </c>
      <c r="H643" s="104">
        <f>SUM(I462)</f>
        <v>1455940.94</v>
      </c>
      <c r="I643" s="140" t="s">
        <v>844</v>
      </c>
      <c r="J643" s="109">
        <f t="shared" si="50"/>
        <v>-2.2595962509512901E-3</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76256.73</v>
      </c>
      <c r="H647" s="104">
        <f>L409</f>
        <v>76256.73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1871554.73</v>
      </c>
      <c r="H648" s="104">
        <f>L209+L227+L245</f>
        <v>1871554.73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253182.21000000002</v>
      </c>
      <c r="H649" s="104">
        <f>(J258+J339)-(J256+J337)</f>
        <v>253182.21000000002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586389.85999999987</v>
      </c>
      <c r="H650" s="104">
        <f>H599</f>
        <v>586389.86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558509.96</v>
      </c>
      <c r="H651" s="104">
        <f>I599</f>
        <v>558509.9600000002</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726654.91</v>
      </c>
      <c r="H652" s="104">
        <f>J599</f>
        <v>726654.91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-6.7787915468215942E-3</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13852902.379999999</v>
      </c>
      <c r="G661" s="19">
        <f>(L230+L310+L360)</f>
        <v>12867688.829999998</v>
      </c>
      <c r="H661" s="19">
        <f>(L248+L329+L361)</f>
        <v>16188557.330000002</v>
      </c>
      <c r="I661" s="19">
        <f>SUM(F661:H661)</f>
        <v>42909148.539999999</v>
      </c>
      <c r="J661" s="13"/>
      <c r="K661" s="13"/>
      <c r="L661" s="13"/>
      <c r="M661" s="9"/>
    </row>
    <row r="662" spans="1:13" s="3" customFormat="1" ht="12.2" customHeight="1" x14ac:dyDescent="0.2">
      <c r="A662" s="1" t="s">
        <v>127</v>
      </c>
      <c r="F662" s="19">
        <f>(L359/IF(SUM(L359:L361)=0,1,SUM(L359:L361))*(SUM(G97:G110)))</f>
        <v>143423.19309843524</v>
      </c>
      <c r="G662" s="19">
        <f>(L360/IF(SUM(L359:L361)=0,1,SUM(L359:L361))*(SUM(G97:G110)))</f>
        <v>133515.35887248145</v>
      </c>
      <c r="H662" s="19">
        <f>(L361/IF(SUM(L359:L361)=0,1,SUM(L359:L361))*(SUM(G97:G110)))</f>
        <v>180391.27802908333</v>
      </c>
      <c r="I662" s="19">
        <f>SUM(F662:H662)</f>
        <v>457329.83</v>
      </c>
      <c r="J662"/>
      <c r="K662" s="13"/>
      <c r="L662" s="13"/>
      <c r="M662" s="8"/>
    </row>
    <row r="663" spans="1:13" s="3" customFormat="1" ht="12.2" customHeight="1" x14ac:dyDescent="0.2">
      <c r="A663" s="1" t="s">
        <v>128</v>
      </c>
      <c r="F663" s="19">
        <f>(L209+L288)-(J209+J288)</f>
        <v>577585.35999999987</v>
      </c>
      <c r="G663" s="19">
        <f>(L227+L307)-(J227+J307)</f>
        <v>550205.01</v>
      </c>
      <c r="H663" s="19">
        <f>(L245+L326)-(J245+J326)</f>
        <v>716264.36</v>
      </c>
      <c r="I663" s="19">
        <f>SUM(F663:H663)</f>
        <v>1844054.73</v>
      </c>
      <c r="J663"/>
      <c r="K663" s="13"/>
      <c r="L663" s="13"/>
      <c r="M663" s="9"/>
    </row>
    <row r="664" spans="1:13" s="3" customFormat="1" ht="12.2" customHeight="1" x14ac:dyDescent="0.15">
      <c r="A664" s="198" t="s">
        <v>129</v>
      </c>
      <c r="B664" s="169"/>
      <c r="C664" s="169"/>
      <c r="D664" s="169"/>
      <c r="E664" s="169"/>
      <c r="F664" s="199">
        <f>SUM(F576:F588)+SUM(H603:H605)+SUM(L612)</f>
        <v>547926.65</v>
      </c>
      <c r="G664" s="199">
        <f>SUM(G576:G588)+SUM(I603:I605)+L613</f>
        <v>72847.03</v>
      </c>
      <c r="H664" s="199">
        <f>SUM(H576:H588)+SUM(J603:J605)+L614</f>
        <v>516664.71</v>
      </c>
      <c r="I664" s="19">
        <f>SUM(F664:H664)</f>
        <v>1137438.3900000001</v>
      </c>
      <c r="J664" s="13"/>
      <c r="K664" s="13"/>
      <c r="L664" s="13"/>
      <c r="M664" s="9"/>
    </row>
    <row r="665" spans="1:13" s="3" customFormat="1" ht="12.2" customHeight="1" x14ac:dyDescent="0.15">
      <c r="A665" s="1" t="s">
        <v>130</v>
      </c>
      <c r="F665" s="19">
        <f>F661-SUM(F662:F664)</f>
        <v>12583967.176901564</v>
      </c>
      <c r="G665" s="19">
        <f>G661-SUM(G662:G664)</f>
        <v>12111121.431127517</v>
      </c>
      <c r="H665" s="19">
        <f>H661-SUM(H662:H664)</f>
        <v>14775236.981970919</v>
      </c>
      <c r="I665" s="19">
        <f>I661-SUM(I662:I664)</f>
        <v>39470325.589999996</v>
      </c>
      <c r="J665" s="13"/>
      <c r="K665" s="13"/>
      <c r="L665" s="13"/>
      <c r="M665" s="8"/>
    </row>
    <row r="666" spans="1:13" s="3" customFormat="1" ht="12.2" customHeight="1" x14ac:dyDescent="0.2">
      <c r="A666" s="1" t="s">
        <v>131</v>
      </c>
      <c r="F666" s="246">
        <f>13.94+119.83+550.51</f>
        <v>684.28</v>
      </c>
      <c r="G666" s="247">
        <v>666.66</v>
      </c>
      <c r="H666" s="247">
        <v>830.23</v>
      </c>
      <c r="I666" s="19">
        <f>SUM(F666:H666)</f>
        <v>2181.17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18390.080000000002</v>
      </c>
      <c r="G668" s="19">
        <f>ROUND(G665/G666,2)</f>
        <v>18166.86</v>
      </c>
      <c r="H668" s="19">
        <f>ROUND(H665/H666,2)</f>
        <v>17796.560000000001</v>
      </c>
      <c r="I668" s="19">
        <f>ROUND(I665/I666,2)</f>
        <v>18095.939999999999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-15.28</v>
      </c>
      <c r="I671" s="19">
        <f>SUM(F671:H671)</f>
        <v>-15.28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18390.080000000002</v>
      </c>
      <c r="G673" s="19">
        <f>ROUND((G665+G670)/(G666+G671),2)</f>
        <v>18166.86</v>
      </c>
      <c r="H673" s="19">
        <f>ROUND((H665+H670)/(H666+H671),2)</f>
        <v>18130.240000000002</v>
      </c>
      <c r="I673" s="19">
        <f>ROUND((I665+I670)/(I666+I671),2)</f>
        <v>18223.61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3" t="s">
        <v>1590</v>
      </c>
      <c r="B1" s="343"/>
      <c r="C1" s="343"/>
      <c r="D1" s="343"/>
      <c r="E1" s="343"/>
      <c r="F1" s="343"/>
      <c r="G1" s="343"/>
      <c r="H1" s="343"/>
    </row>
    <row r="2" spans="1:9" ht="15" x14ac:dyDescent="0.2">
      <c r="A2" s="343" t="s">
        <v>1586</v>
      </c>
      <c r="B2" s="343"/>
      <c r="C2" s="343"/>
      <c r="D2" s="343"/>
      <c r="E2" s="343"/>
      <c r="F2" s="343"/>
      <c r="G2" s="343"/>
      <c r="H2" s="343"/>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4" t="str">
        <f>'DOE25'!A2</f>
        <v>Oyster River Coop</v>
      </c>
      <c r="C5" s="345"/>
      <c r="D5" s="345"/>
      <c r="E5" s="345"/>
      <c r="F5" s="345"/>
    </row>
    <row r="8" spans="1:9" ht="18" x14ac:dyDescent="0.25">
      <c r="A8" s="323" t="s">
        <v>1591</v>
      </c>
      <c r="F8" s="330" t="s">
        <v>1609</v>
      </c>
    </row>
    <row r="9" spans="1:9" ht="15" x14ac:dyDescent="0.2">
      <c r="A9" s="321" t="s">
        <v>1592</v>
      </c>
      <c r="B9" s="324">
        <f>'DOE25'!G97</f>
        <v>456579.83</v>
      </c>
      <c r="F9" s="321" t="s">
        <v>1605</v>
      </c>
    </row>
    <row r="10" spans="1:9" ht="15" x14ac:dyDescent="0.2">
      <c r="A10" s="321" t="s">
        <v>1593</v>
      </c>
      <c r="B10" s="324">
        <f>'DOE25'!G112-'DOE25'!G97</f>
        <v>750</v>
      </c>
      <c r="F10" s="321" t="s">
        <v>1606</v>
      </c>
    </row>
    <row r="11" spans="1:9" ht="15" x14ac:dyDescent="0.2">
      <c r="A11" s="321" t="s">
        <v>1594</v>
      </c>
      <c r="B11" s="324">
        <f>'DOE25'!G140</f>
        <v>8394.01</v>
      </c>
      <c r="F11" s="321" t="s">
        <v>1607</v>
      </c>
    </row>
    <row r="12" spans="1:9" ht="15" x14ac:dyDescent="0.2">
      <c r="A12" s="321" t="s">
        <v>1595</v>
      </c>
      <c r="B12" s="324">
        <f>'DOE25'!G170</f>
        <v>271058.25</v>
      </c>
      <c r="F12" s="321" t="s">
        <v>1608</v>
      </c>
    </row>
    <row r="13" spans="1:9" ht="15" x14ac:dyDescent="0.2">
      <c r="A13" s="321" t="s">
        <v>1596</v>
      </c>
      <c r="B13" s="324">
        <f>'DOE25'!G193-'DOE25'!G180</f>
        <v>0</v>
      </c>
      <c r="F13" s="321" t="s">
        <v>1618</v>
      </c>
    </row>
    <row r="14" spans="1:9" ht="18" x14ac:dyDescent="0.25">
      <c r="A14" s="323" t="s">
        <v>732</v>
      </c>
      <c r="B14" s="325">
        <f>SUM(B9:B13)</f>
        <v>736782.09000000008</v>
      </c>
    </row>
    <row r="16" spans="1:9" ht="18" x14ac:dyDescent="0.25">
      <c r="A16" s="323" t="s">
        <v>786</v>
      </c>
      <c r="F16" s="330" t="s">
        <v>1610</v>
      </c>
    </row>
    <row r="17" spans="1:6" ht="15" x14ac:dyDescent="0.2">
      <c r="A17" s="321" t="s">
        <v>1597</v>
      </c>
      <c r="B17" s="324">
        <f>'DOE25'!L363-'DOE25'!L362</f>
        <v>738357.24</v>
      </c>
      <c r="F17" s="321" t="s">
        <v>1611</v>
      </c>
    </row>
    <row r="18" spans="1:6" ht="15" x14ac:dyDescent="0.2">
      <c r="A18" s="321" t="s">
        <v>1598</v>
      </c>
      <c r="B18" s="338"/>
      <c r="F18" s="330" t="s">
        <v>1637</v>
      </c>
    </row>
    <row r="19" spans="1:6" ht="18" x14ac:dyDescent="0.25">
      <c r="A19" s="323" t="s">
        <v>725</v>
      </c>
      <c r="B19" s="325">
        <f>SUM(B17:B18)</f>
        <v>738357.24</v>
      </c>
    </row>
    <row r="21" spans="1:6" ht="18.75" thickBot="1" x14ac:dyDescent="0.3">
      <c r="A21" s="323" t="s">
        <v>1599</v>
      </c>
    </row>
    <row r="22" spans="1:6" ht="18.75" thickTop="1" x14ac:dyDescent="0.25">
      <c r="A22" s="323" t="s">
        <v>1600</v>
      </c>
      <c r="B22" s="329">
        <f>B14-B19</f>
        <v>-1575.1499999999069</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65220.089999999967</v>
      </c>
      <c r="F31" s="321" t="s">
        <v>1615</v>
      </c>
    </row>
    <row r="33" spans="1:6" ht="15" x14ac:dyDescent="0.2">
      <c r="A33" s="321" t="s">
        <v>1641</v>
      </c>
      <c r="B33" s="324">
        <f>'DOE25'!G477</f>
        <v>63644.940000000061</v>
      </c>
      <c r="F33" s="321" t="s">
        <v>1616</v>
      </c>
    </row>
    <row r="36" spans="1:6" ht="15" x14ac:dyDescent="0.2">
      <c r="A36" s="321" t="s">
        <v>1602</v>
      </c>
      <c r="B36" s="339">
        <v>58802.879999999997</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23" workbookViewId="0">
      <selection activeCell="C18" sqref="C1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Oyster River Coop</v>
      </c>
      <c r="C1" s="238" t="s">
        <v>824</v>
      </c>
    </row>
    <row r="2" spans="1:3" x14ac:dyDescent="0.2">
      <c r="A2" s="233"/>
      <c r="B2" s="232"/>
    </row>
    <row r="3" spans="1:3" x14ac:dyDescent="0.2">
      <c r="A3" s="349" t="s">
        <v>780</v>
      </c>
      <c r="B3" s="349"/>
      <c r="C3" s="349"/>
    </row>
    <row r="4" spans="1:3" x14ac:dyDescent="0.2">
      <c r="A4" s="236"/>
      <c r="B4" s="237" t="str">
        <f>'DOE25'!H1</f>
        <v>DOE 25  2019-2020</v>
      </c>
      <c r="C4" s="236"/>
    </row>
    <row r="5" spans="1:3" x14ac:dyDescent="0.2">
      <c r="A5" s="233"/>
      <c r="B5" s="232"/>
    </row>
    <row r="6" spans="1:3" x14ac:dyDescent="0.2">
      <c r="A6" s="227"/>
      <c r="B6" s="348" t="s">
        <v>779</v>
      </c>
      <c r="C6" s="348"/>
    </row>
    <row r="7" spans="1:3" x14ac:dyDescent="0.2">
      <c r="A7" s="239" t="s">
        <v>782</v>
      </c>
      <c r="B7" s="346" t="s">
        <v>778</v>
      </c>
      <c r="C7" s="347"/>
    </row>
    <row r="8" spans="1:3" x14ac:dyDescent="0.2">
      <c r="B8" s="228" t="s">
        <v>54</v>
      </c>
      <c r="C8" s="228" t="s">
        <v>772</v>
      </c>
    </row>
    <row r="9" spans="1:3" x14ac:dyDescent="0.2">
      <c r="A9" s="33" t="s">
        <v>773</v>
      </c>
      <c r="B9" s="229">
        <f>'DOE25'!F198+'DOE25'!F216+'DOE25'!F234+'DOE25'!F277+'DOE25'!F296+'DOE25'!F315</f>
        <v>12421041.190000001</v>
      </c>
      <c r="C9" s="229">
        <f>'DOE25'!G198+'DOE25'!G216+'DOE25'!G234+'DOE25'!G277+'DOE25'!G296+'DOE25'!G315</f>
        <v>5872264.0200000005</v>
      </c>
    </row>
    <row r="10" spans="1:3" x14ac:dyDescent="0.2">
      <c r="A10" t="s">
        <v>775</v>
      </c>
      <c r="B10" s="240">
        <v>11402796.26</v>
      </c>
      <c r="C10" s="240">
        <v>5390870.9500000002</v>
      </c>
    </row>
    <row r="11" spans="1:3" x14ac:dyDescent="0.2">
      <c r="A11" t="s">
        <v>776</v>
      </c>
      <c r="B11" s="240">
        <v>291704.74</v>
      </c>
      <c r="C11" s="240">
        <v>137908.51</v>
      </c>
    </row>
    <row r="12" spans="1:3" x14ac:dyDescent="0.2">
      <c r="A12" t="s">
        <v>777</v>
      </c>
      <c r="B12" s="240">
        <v>726540.19000000006</v>
      </c>
      <c r="C12" s="240">
        <v>343484.56</v>
      </c>
    </row>
    <row r="13" spans="1:3" x14ac:dyDescent="0.2">
      <c r="A13" t="str">
        <f>IF(B9=B13,IF(C9=C13,"Check Total OK","Check Total Error"),"Check Total Error")</f>
        <v>Check Total OK</v>
      </c>
      <c r="B13" s="231">
        <f>SUM(B10:B12)</f>
        <v>12421041.189999999</v>
      </c>
      <c r="C13" s="231">
        <f>SUM(C10:C12)</f>
        <v>5872264.0199999996</v>
      </c>
    </row>
    <row r="14" spans="1:3" x14ac:dyDescent="0.2">
      <c r="B14" s="230"/>
      <c r="C14" s="230"/>
    </row>
    <row r="15" spans="1:3" x14ac:dyDescent="0.2">
      <c r="B15" s="348" t="s">
        <v>779</v>
      </c>
      <c r="C15" s="348"/>
    </row>
    <row r="16" spans="1:3" x14ac:dyDescent="0.2">
      <c r="A16" s="239" t="s">
        <v>783</v>
      </c>
      <c r="B16" s="346" t="s">
        <v>703</v>
      </c>
      <c r="C16" s="347"/>
    </row>
    <row r="17" spans="1:3" x14ac:dyDescent="0.2">
      <c r="B17" s="228" t="s">
        <v>54</v>
      </c>
      <c r="C17" s="228" t="s">
        <v>772</v>
      </c>
    </row>
    <row r="18" spans="1:3" x14ac:dyDescent="0.2">
      <c r="A18" s="33" t="s">
        <v>773</v>
      </c>
      <c r="B18" s="229">
        <f>'DOE25'!F199+'DOE25'!F217+'DOE25'!F235+'DOE25'!F278+'DOE25'!F297+'DOE25'!F316</f>
        <v>4038804.04</v>
      </c>
      <c r="C18" s="229">
        <f>'DOE25'!G199+'DOE25'!G217+'DOE25'!G235+'DOE25'!G278+'DOE25'!G297+'DOE25'!G316</f>
        <v>1814241.0799999998</v>
      </c>
    </row>
    <row r="19" spans="1:3" x14ac:dyDescent="0.2">
      <c r="A19" t="s">
        <v>775</v>
      </c>
      <c r="B19" s="240">
        <v>2335962.79</v>
      </c>
      <c r="C19" s="240">
        <v>1049320.45</v>
      </c>
    </row>
    <row r="20" spans="1:3" x14ac:dyDescent="0.2">
      <c r="A20" t="s">
        <v>776</v>
      </c>
      <c r="B20" s="240">
        <v>1593615.93</v>
      </c>
      <c r="C20" s="240">
        <v>715856.34</v>
      </c>
    </row>
    <row r="21" spans="1:3" x14ac:dyDescent="0.2">
      <c r="A21" t="s">
        <v>777</v>
      </c>
      <c r="B21" s="240">
        <v>109225.32</v>
      </c>
      <c r="C21" s="240">
        <v>49064.29</v>
      </c>
    </row>
    <row r="22" spans="1:3" x14ac:dyDescent="0.2">
      <c r="A22" t="str">
        <f>IF(B18=B22,IF(C18=C22,"Check Total OK","Check Total Error"),"Check Total Error")</f>
        <v>Check Total OK</v>
      </c>
      <c r="B22" s="231">
        <f>SUM(B19:B21)</f>
        <v>4038804.0399999996</v>
      </c>
      <c r="C22" s="231">
        <f>SUM(C19:C21)</f>
        <v>1814241.08</v>
      </c>
    </row>
    <row r="23" spans="1:3" x14ac:dyDescent="0.2">
      <c r="B23" s="230"/>
      <c r="C23" s="230"/>
    </row>
    <row r="24" spans="1:3" x14ac:dyDescent="0.2">
      <c r="B24" s="348" t="s">
        <v>779</v>
      </c>
      <c r="C24" s="348"/>
    </row>
    <row r="25" spans="1:3" x14ac:dyDescent="0.2">
      <c r="A25" s="239" t="s">
        <v>784</v>
      </c>
      <c r="B25" s="346" t="s">
        <v>704</v>
      </c>
      <c r="C25" s="347"/>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8" t="s">
        <v>779</v>
      </c>
      <c r="C33" s="348"/>
    </row>
    <row r="34" spans="1:3" x14ac:dyDescent="0.2">
      <c r="A34" s="239" t="s">
        <v>785</v>
      </c>
      <c r="B34" s="346" t="s">
        <v>705</v>
      </c>
      <c r="C34" s="347"/>
    </row>
    <row r="35" spans="1:3" x14ac:dyDescent="0.2">
      <c r="B35" s="228" t="s">
        <v>54</v>
      </c>
      <c r="C35" s="228" t="s">
        <v>772</v>
      </c>
    </row>
    <row r="36" spans="1:3" x14ac:dyDescent="0.2">
      <c r="A36" s="33" t="s">
        <v>773</v>
      </c>
      <c r="B36" s="235">
        <f>'DOE25'!F201+'DOE25'!F219+'DOE25'!F237+'DOE25'!F280+'DOE25'!F299+'DOE25'!F318</f>
        <v>397793.26</v>
      </c>
      <c r="C36" s="235">
        <f>'DOE25'!G201+'DOE25'!G219+'DOE25'!G237+'DOE25'!G280+'DOE25'!G299+'DOE25'!G318</f>
        <v>77827.95</v>
      </c>
    </row>
    <row r="37" spans="1:3" x14ac:dyDescent="0.2">
      <c r="A37" t="s">
        <v>775</v>
      </c>
      <c r="B37" s="240">
        <v>227830.09</v>
      </c>
      <c r="C37" s="240">
        <v>44574.78</v>
      </c>
    </row>
    <row r="38" spans="1:3" x14ac:dyDescent="0.2">
      <c r="A38" t="s">
        <v>776</v>
      </c>
      <c r="B38" s="240">
        <v>0</v>
      </c>
      <c r="C38" s="240">
        <v>0</v>
      </c>
    </row>
    <row r="39" spans="1:3" x14ac:dyDescent="0.2">
      <c r="A39" t="s">
        <v>777</v>
      </c>
      <c r="B39" s="240">
        <v>169963.17</v>
      </c>
      <c r="C39" s="240">
        <v>33253.17</v>
      </c>
    </row>
    <row r="40" spans="1:3" x14ac:dyDescent="0.2">
      <c r="A40" t="str">
        <f>IF(B36=B40,IF(C36=C40,"Check Total OK","Check Total Error"),"Check Total Error")</f>
        <v>Check Total OK</v>
      </c>
      <c r="B40" s="231">
        <f>SUM(B37:B39)</f>
        <v>397793.26</v>
      </c>
      <c r="C40" s="231">
        <f>SUM(C37:C39)</f>
        <v>77827.95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A2" sqref="A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8" t="s">
        <v>894</v>
      </c>
      <c r="B1" s="352"/>
      <c r="C1" s="352"/>
      <c r="D1" s="352"/>
      <c r="E1" s="352"/>
      <c r="F1" s="352"/>
      <c r="G1" s="352"/>
      <c r="H1" s="352"/>
      <c r="I1" s="181"/>
    </row>
    <row r="2" spans="1:9" x14ac:dyDescent="0.2">
      <c r="A2" s="33" t="s">
        <v>713</v>
      </c>
      <c r="B2" s="260" t="str">
        <f>'DOE25'!A2</f>
        <v>Oyster River Coop</v>
      </c>
      <c r="C2" s="278"/>
      <c r="D2" s="181" t="s">
        <v>787</v>
      </c>
      <c r="E2" s="181" t="s">
        <v>789</v>
      </c>
      <c r="F2" s="350" t="s">
        <v>893</v>
      </c>
      <c r="G2" s="351"/>
      <c r="H2" s="351"/>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25865551.129999999</v>
      </c>
      <c r="D5" s="20">
        <f>SUM('DOE25'!L198:L201)+SUM('DOE25'!L216:L219)+SUM('DOE25'!L234:L237)-F5-G5-H5</f>
        <v>25614154.41</v>
      </c>
      <c r="E5" s="243"/>
      <c r="F5" s="244">
        <v>133044.81</v>
      </c>
      <c r="G5" s="53">
        <f>SUM('DOE25'!J198:J201)+SUM('DOE25'!J216:J219)+SUM('DOE25'!J234:J237)</f>
        <v>59040.86</v>
      </c>
      <c r="H5" s="53">
        <f>SUM('DOE25'!K198:K201)+SUM('DOE25'!K216:K219)+SUM('DOE25'!K234:K237)</f>
        <v>59311.05</v>
      </c>
      <c r="I5" s="256"/>
    </row>
    <row r="6" spans="1:9" x14ac:dyDescent="0.2">
      <c r="A6" s="32">
        <v>2100</v>
      </c>
      <c r="B6" t="s">
        <v>796</v>
      </c>
      <c r="C6" s="276">
        <f t="shared" si="0"/>
        <v>4153513.5199999996</v>
      </c>
      <c r="D6" s="20">
        <f>'DOE25'!L203+'DOE25'!L221+'DOE25'!L239-F6-G6-H6</f>
        <v>3626794.38</v>
      </c>
      <c r="E6" s="243"/>
      <c r="F6" s="244">
        <v>524141.15</v>
      </c>
      <c r="G6" s="53">
        <f>'DOE25'!J203+'DOE25'!J221+'DOE25'!J239</f>
        <v>2244.09</v>
      </c>
      <c r="H6" s="53">
        <f>'DOE25'!K203+'DOE25'!K221+'DOE25'!K239</f>
        <v>333.9</v>
      </c>
      <c r="I6" s="256"/>
    </row>
    <row r="7" spans="1:9" x14ac:dyDescent="0.2">
      <c r="A7" s="32">
        <v>2200</v>
      </c>
      <c r="B7" t="s">
        <v>821</v>
      </c>
      <c r="C7" s="276">
        <f t="shared" si="0"/>
        <v>1029959.1800000002</v>
      </c>
      <c r="D7" s="20">
        <f>'DOE25'!L204+'DOE25'!L222+'DOE25'!L240-F7-G7-H7</f>
        <v>1018249.2600000001</v>
      </c>
      <c r="E7" s="243"/>
      <c r="F7" s="244"/>
      <c r="G7" s="53">
        <f>'DOE25'!J204+'DOE25'!J222+'DOE25'!J240</f>
        <v>11709.920000000002</v>
      </c>
      <c r="H7" s="53">
        <f>'DOE25'!K204+'DOE25'!K222+'DOE25'!K240</f>
        <v>0</v>
      </c>
      <c r="I7" s="256"/>
    </row>
    <row r="8" spans="1:9" x14ac:dyDescent="0.2">
      <c r="A8" s="32">
        <v>2300</v>
      </c>
      <c r="B8" t="s">
        <v>797</v>
      </c>
      <c r="C8" s="276">
        <f t="shared" si="0"/>
        <v>739488.71000000008</v>
      </c>
      <c r="D8" s="243"/>
      <c r="E8" s="20">
        <f>'DOE25'!L205+'DOE25'!L223+'DOE25'!L241-F8-G8-H8-D9-D11</f>
        <v>715098.4800000001</v>
      </c>
      <c r="F8" s="244">
        <v>9694</v>
      </c>
      <c r="G8" s="53">
        <f>'DOE25'!J205+'DOE25'!J223+'DOE25'!J241</f>
        <v>0</v>
      </c>
      <c r="H8" s="53">
        <f>'DOE25'!K205+'DOE25'!K223+'DOE25'!K241</f>
        <v>14696.23</v>
      </c>
      <c r="I8" s="256"/>
    </row>
    <row r="9" spans="1:9" ht="14.25" x14ac:dyDescent="0.2">
      <c r="A9" s="32">
        <v>2310</v>
      </c>
      <c r="B9" s="185" t="s">
        <v>890</v>
      </c>
      <c r="C9" s="276">
        <f t="shared" si="0"/>
        <v>151751.07999999999</v>
      </c>
      <c r="D9" s="244">
        <v>151751.07999999999</v>
      </c>
      <c r="E9" s="243"/>
      <c r="F9" s="253"/>
      <c r="G9" s="253"/>
      <c r="H9" s="253"/>
      <c r="I9" s="256"/>
    </row>
    <row r="10" spans="1:9" ht="14.25" x14ac:dyDescent="0.2">
      <c r="A10" s="32">
        <v>2317</v>
      </c>
      <c r="B10" s="185" t="s">
        <v>891</v>
      </c>
      <c r="C10" s="276">
        <f t="shared" si="0"/>
        <v>20000</v>
      </c>
      <c r="D10" s="243"/>
      <c r="E10" s="244">
        <v>20000</v>
      </c>
      <c r="F10" s="253"/>
      <c r="G10" s="253"/>
      <c r="H10" s="253"/>
      <c r="I10" s="256"/>
    </row>
    <row r="11" spans="1:9" ht="14.25" x14ac:dyDescent="0.2">
      <c r="A11" s="32">
        <v>2321</v>
      </c>
      <c r="B11" s="185" t="s">
        <v>892</v>
      </c>
      <c r="C11" s="276">
        <f t="shared" si="0"/>
        <v>584005.37</v>
      </c>
      <c r="D11" s="244">
        <v>584005.37</v>
      </c>
      <c r="E11" s="243"/>
      <c r="F11" s="253"/>
      <c r="G11" s="253"/>
      <c r="H11" s="253"/>
      <c r="I11" s="256"/>
    </row>
    <row r="12" spans="1:9" x14ac:dyDescent="0.2">
      <c r="A12" s="32">
        <v>2400</v>
      </c>
      <c r="B12" t="s">
        <v>711</v>
      </c>
      <c r="C12" s="276">
        <f t="shared" si="0"/>
        <v>1807630.42</v>
      </c>
      <c r="D12" s="20">
        <f>'DOE25'!L206+'DOE25'!L224+'DOE25'!L242-F12-G12-H12</f>
        <v>1800156.75</v>
      </c>
      <c r="E12" s="243"/>
      <c r="F12" s="244"/>
      <c r="G12" s="53">
        <f>'DOE25'!J206+'DOE25'!J224+'DOE25'!J242</f>
        <v>151.97999999999999</v>
      </c>
      <c r="H12" s="53">
        <f>'DOE25'!K206+'DOE25'!K224+'DOE25'!K242</f>
        <v>7321.6900000000005</v>
      </c>
      <c r="I12" s="256"/>
    </row>
    <row r="13" spans="1:9" x14ac:dyDescent="0.2">
      <c r="A13" s="32">
        <v>2500</v>
      </c>
      <c r="B13" t="s">
        <v>798</v>
      </c>
      <c r="C13" s="276">
        <f t="shared" si="0"/>
        <v>639843.03</v>
      </c>
      <c r="D13" s="243"/>
      <c r="E13" s="20">
        <f>'DOE25'!L207+'DOE25'!L225+'DOE25'!L243-F13-G13-H13</f>
        <v>632674.70000000007</v>
      </c>
      <c r="F13" s="244"/>
      <c r="G13" s="53">
        <f>'DOE25'!J207+'DOE25'!J225+'DOE25'!J243</f>
        <v>0</v>
      </c>
      <c r="H13" s="53">
        <f>'DOE25'!K207+'DOE25'!K225+'DOE25'!K243</f>
        <v>7168.33</v>
      </c>
      <c r="I13" s="256"/>
    </row>
    <row r="14" spans="1:9" x14ac:dyDescent="0.2">
      <c r="A14" s="32">
        <v>2600</v>
      </c>
      <c r="B14" t="s">
        <v>819</v>
      </c>
      <c r="C14" s="276">
        <f t="shared" si="0"/>
        <v>3140516.59</v>
      </c>
      <c r="D14" s="20">
        <f>'DOE25'!L208+'DOE25'!L226+'DOE25'!L244-F14-G14-H14</f>
        <v>2720291.35</v>
      </c>
      <c r="E14" s="243"/>
      <c r="F14" s="244">
        <v>387852.3</v>
      </c>
      <c r="G14" s="53">
        <f>'DOE25'!J208+'DOE25'!J226+'DOE25'!J244</f>
        <v>32372.940000000002</v>
      </c>
      <c r="H14" s="53">
        <f>'DOE25'!K208+'DOE25'!K226+'DOE25'!K244</f>
        <v>0</v>
      </c>
      <c r="I14" s="256"/>
    </row>
    <row r="15" spans="1:9" x14ac:dyDescent="0.2">
      <c r="A15" s="32">
        <v>2700</v>
      </c>
      <c r="B15" t="s">
        <v>799</v>
      </c>
      <c r="C15" s="276">
        <f t="shared" si="0"/>
        <v>1871554.73</v>
      </c>
      <c r="D15" s="20">
        <f>'DOE25'!L209+'DOE25'!L227+'DOE25'!L245-F15-G15-H15</f>
        <v>1748165.67</v>
      </c>
      <c r="E15" s="243"/>
      <c r="F15" s="244">
        <v>94209.56</v>
      </c>
      <c r="G15" s="53">
        <f>'DOE25'!J209+'DOE25'!J227+'DOE25'!J245</f>
        <v>27500</v>
      </c>
      <c r="H15" s="53">
        <f>'DOE25'!K209+'DOE25'!K227+'DOE25'!K245</f>
        <v>1679.5</v>
      </c>
      <c r="I15" s="256"/>
    </row>
    <row r="16" spans="1:9" x14ac:dyDescent="0.2">
      <c r="A16" s="32">
        <v>2800</v>
      </c>
      <c r="B16" t="s">
        <v>800</v>
      </c>
      <c r="C16" s="276">
        <f t="shared" si="0"/>
        <v>1422542.2</v>
      </c>
      <c r="D16" s="243"/>
      <c r="E16" s="20">
        <f>'DOE25'!L210+'DOE25'!L228+'DOE25'!L246-F16-G16-H16</f>
        <v>1361962.45</v>
      </c>
      <c r="F16" s="244"/>
      <c r="G16" s="53">
        <f>'DOE25'!J210+'DOE25'!J228+'DOE25'!J246</f>
        <v>52899.6</v>
      </c>
      <c r="H16" s="53">
        <f>'DOE25'!K210+'DOE25'!K228+'DOE25'!K246</f>
        <v>7680.15</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2128935.15</v>
      </c>
      <c r="D22" s="243"/>
      <c r="E22" s="243"/>
      <c r="F22" s="243"/>
      <c r="G22" s="53">
        <f>'DOE25'!L256+'DOE25'!L337</f>
        <v>2128935.15</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1484134</v>
      </c>
      <c r="D25" s="243"/>
      <c r="E25" s="243"/>
      <c r="F25" s="255"/>
      <c r="G25" s="253"/>
      <c r="H25" s="253"/>
      <c r="I25" s="254">
        <f>'DOE25'!L261+'DOE25'!L262+'DOE25'!L342+'DOE25'!L343</f>
        <v>1484134</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490351.18999999994</v>
      </c>
      <c r="D29" s="284">
        <f>'DOE25'!L359+'DOE25'!L360+'DOE25'!L361-'DOE25'!I368-F29-G29-H29</f>
        <v>489001.32999999996</v>
      </c>
      <c r="E29" s="243"/>
      <c r="F29" s="244"/>
      <c r="G29" s="53">
        <f>'DOE25'!J359+'DOE25'!J360+'DOE25'!J361</f>
        <v>399.86</v>
      </c>
      <c r="H29" s="53">
        <f>'DOE25'!K359+'DOE25'!K360+'DOE25'!K361</f>
        <v>950</v>
      </c>
      <c r="I29" s="256"/>
    </row>
    <row r="30" spans="1:9" x14ac:dyDescent="0.2">
      <c r="A30" s="32"/>
      <c r="C30" s="277"/>
      <c r="D30" s="20"/>
      <c r="E30" s="281"/>
      <c r="F30" s="271"/>
      <c r="G30" s="53"/>
      <c r="H30" s="53"/>
      <c r="I30" s="256"/>
    </row>
    <row r="31" spans="1:9" x14ac:dyDescent="0.2">
      <c r="A31" s="32" t="s">
        <v>818</v>
      </c>
      <c r="B31" t="s">
        <v>817</v>
      </c>
      <c r="C31" s="276">
        <f>SUM(D31:I31)</f>
        <v>764435.34000000008</v>
      </c>
      <c r="D31" s="20">
        <f>'DOE25'!L291+'DOE25'!L310+'DOE25'!L329+'DOE25'!L334+'DOE25'!L335+'DOE25'!L336-F31-G31-H31</f>
        <v>696272.52000000014</v>
      </c>
      <c r="E31" s="243"/>
      <c r="F31" s="244">
        <v>900</v>
      </c>
      <c r="G31" s="53">
        <f>'DOE25'!J291+'DOE25'!J310+'DOE25'!J329+'DOE25'!J334+'DOE25'!J335+'DOE25'!J336</f>
        <v>67262.819999999992</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38448842.120000005</v>
      </c>
      <c r="E33" s="245">
        <f t="shared" si="1"/>
        <v>2729735.63</v>
      </c>
      <c r="F33" s="245">
        <f t="shared" si="1"/>
        <v>1149841.82</v>
      </c>
      <c r="G33" s="245">
        <f t="shared" si="1"/>
        <v>2382517.2199999997</v>
      </c>
      <c r="H33" s="245">
        <f t="shared" si="1"/>
        <v>99140.85</v>
      </c>
      <c r="I33" s="245">
        <f t="shared" si="1"/>
        <v>1484134</v>
      </c>
    </row>
    <row r="35" spans="1:9" ht="12" thickBot="1" x14ac:dyDescent="0.25">
      <c r="B35" s="251" t="s">
        <v>831</v>
      </c>
      <c r="D35" s="252">
        <f>E33</f>
        <v>2729735.63</v>
      </c>
      <c r="E35" s="248"/>
    </row>
    <row r="36" spans="1:9" ht="12" thickTop="1" x14ac:dyDescent="0.2">
      <c r="B36" t="s">
        <v>810</v>
      </c>
      <c r="D36" s="20">
        <f>D33</f>
        <v>38448842.120000005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3" t="s">
        <v>903</v>
      </c>
      <c r="C53" s="353"/>
      <c r="D53" s="353"/>
      <c r="E53" s="353"/>
      <c r="F53" s="353"/>
      <c r="G53" s="353"/>
      <c r="H53" s="353"/>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C18" zoomScaleNormal="100" workbookViewId="0">
      <selection activeCell="F44" sqref="F4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Oyster River Coop</v>
      </c>
      <c r="B2" s="126">
        <f>'DOE25'!B2</f>
        <v>423</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13621346.190000001</v>
      </c>
      <c r="G4" s="303">
        <f>'DOE25'!L212+'DOE25'!L291</f>
        <v>13621346.189999999</v>
      </c>
      <c r="H4" s="337">
        <f>F4-G4</f>
        <v>0</v>
      </c>
      <c r="I4" s="309" t="str">
        <f>IF(H4=0,"","Does not match DOE25 page 7 and 11 Totals!!")</f>
        <v/>
      </c>
      <c r="N4"/>
    </row>
    <row r="5" spans="1:18" x14ac:dyDescent="0.2">
      <c r="A5" s="21" t="s">
        <v>1345</v>
      </c>
      <c r="B5" s="304">
        <f>IFERROR(VLOOKUP(A5,'School Tables'!$C$3:$D$365,2,FALSE),"")</f>
        <v>22805</v>
      </c>
      <c r="C5" s="297" t="str">
        <f>IFERROR(INDEX('School Tables'!$B$3:$B$365,MATCH('School Level Expenditures'!B5,'School Tables'!$D$3:$D$365,0)),"")</f>
        <v>Oyster River Coop</v>
      </c>
      <c r="D5" s="294">
        <v>6815056.0999999996</v>
      </c>
      <c r="E5" s="294">
        <v>98118.89</v>
      </c>
      <c r="F5" s="312">
        <f>D5+E5</f>
        <v>6913174.9899999993</v>
      </c>
      <c r="G5" s="297"/>
      <c r="H5" s="297"/>
      <c r="I5" s="126"/>
      <c r="N5"/>
    </row>
    <row r="6" spans="1:18" x14ac:dyDescent="0.2">
      <c r="A6" s="21" t="s">
        <v>1342</v>
      </c>
      <c r="B6" s="304">
        <f>IFERROR(VLOOKUP(A6,'School Tables'!$C$3:$D$365,2,FALSE),"")</f>
        <v>26660</v>
      </c>
      <c r="C6" s="297" t="str">
        <f>IFERROR(INDEX('School Tables'!$B$3:$B$365,MATCH('School Level Expenditures'!B6,'School Tables'!$D$3:$D$365,0)),"")</f>
        <v>Oyster River Coop</v>
      </c>
      <c r="D6" s="294">
        <v>6670172.7400000012</v>
      </c>
      <c r="E6" s="294">
        <v>37998.459999999992</v>
      </c>
      <c r="F6" s="307">
        <f t="shared" ref="F6:F20" si="0">D6+E6</f>
        <v>6708171.2000000011</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12652128.799999999</v>
      </c>
      <c r="G24" s="303">
        <f>'DOE25'!L230+'DOE25'!L310</f>
        <v>12652128.799999999</v>
      </c>
      <c r="H24" s="337">
        <f>F24-G24</f>
        <v>0</v>
      </c>
      <c r="I24" s="309" t="str">
        <f>IF(H24=0,"","Does not match DOE25 page 8 and 12 Totals!!")</f>
        <v/>
      </c>
      <c r="N24"/>
    </row>
    <row r="25" spans="1:14" x14ac:dyDescent="0.2">
      <c r="A25" s="21" t="s">
        <v>1343</v>
      </c>
      <c r="B25" s="304">
        <f>IFERROR(VLOOKUP(A25,'School Tables'!$I$3:$J$80,2,FALSE),"")</f>
        <v>22790</v>
      </c>
      <c r="C25" s="297" t="str">
        <f t="array" ref="C25">IFERROR(INDEX('School Tables'!$H$3:$H$80,MATCH('School Level Expenditures'!B25,'School Tables'!$J$3:$J$80,0)),"")</f>
        <v>Oyster River Coop</v>
      </c>
      <c r="D25" s="294">
        <v>12306325.649999999</v>
      </c>
      <c r="E25" s="294">
        <v>345803.14999999997</v>
      </c>
      <c r="F25" s="307">
        <f>D25+E25</f>
        <v>12652128.799999999</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15897316.310000002</v>
      </c>
      <c r="G36" s="303">
        <f>'DOE25'!L248+'DOE25'!L329</f>
        <v>15897316.310000002</v>
      </c>
      <c r="H36" s="337">
        <f>F36-G36</f>
        <v>0</v>
      </c>
      <c r="I36" s="309" t="str">
        <f>IF(H36=0,"","Does not match DOE25 page 9 and 13 Totals!!")</f>
        <v/>
      </c>
      <c r="N36"/>
    </row>
    <row r="37" spans="1:14" x14ac:dyDescent="0.2">
      <c r="A37" s="21" t="s">
        <v>1344</v>
      </c>
      <c r="B37" s="304">
        <f>IFERROR(VLOOKUP(A37,'School Tables'!$O$3:$P$118,2,FALSE),"")</f>
        <v>22800</v>
      </c>
      <c r="C37" s="297" t="str">
        <f t="array" ref="C37">IFERROR(INDEX('School Tables'!$N$3:$N$118,MATCH('School Level Expenditures'!B37,'School Tables'!$P$3:$P$118,0)),"")</f>
        <v>Oyster River Coop</v>
      </c>
      <c r="D37" s="294">
        <v>15614801.470000003</v>
      </c>
      <c r="E37" s="294">
        <v>282514.84000000003</v>
      </c>
      <c r="F37" s="307">
        <f>D37+E37</f>
        <v>15897316.310000002</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3"/>
      <c r="B58" s="353"/>
      <c r="C58" s="353"/>
      <c r="D58" s="353"/>
      <c r="E58" s="353"/>
      <c r="F58" s="353"/>
      <c r="G58" s="353"/>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topLeftCell="B1" zoomScale="80" zoomScaleNormal="80" workbookViewId="0">
      <pane ySplit="2" topLeftCell="A21" activePane="bottomLeft" state="frozen"/>
      <selection activeCell="F46" sqref="F46"/>
      <selection pane="bottomLeft" activeCell="F57" sqref="F5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Oyster River Coop</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1457492.939</v>
      </c>
      <c r="D8" s="95">
        <f>'DOE25'!G9</f>
        <v>0</v>
      </c>
      <c r="E8" s="95">
        <f>'DOE25'!H9</f>
        <v>0</v>
      </c>
      <c r="F8" s="95">
        <f>'DOE25'!I9</f>
        <v>554815.4</v>
      </c>
      <c r="G8" s="95">
        <f>'DOE25'!J9</f>
        <v>0</v>
      </c>
      <c r="H8" s="124"/>
      <c r="I8" s="124"/>
    </row>
    <row r="9" spans="1:9" x14ac:dyDescent="0.2">
      <c r="A9" s="1" t="s">
        <v>140</v>
      </c>
      <c r="B9" s="6">
        <v>110</v>
      </c>
      <c r="C9" s="95">
        <f>'DOE25'!F10</f>
        <v>0</v>
      </c>
      <c r="D9" s="95">
        <f>'DOE25'!G10</f>
        <v>0</v>
      </c>
      <c r="E9" s="95">
        <f>'DOE25'!H10</f>
        <v>0</v>
      </c>
      <c r="F9" s="95">
        <f>'DOE25'!I10</f>
        <v>0</v>
      </c>
      <c r="G9" s="95">
        <f>'DOE25'!J10</f>
        <v>1455940.9377404037</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104859.69</v>
      </c>
      <c r="D11" s="95">
        <f>'DOE25'!G12</f>
        <v>104619.28999999992</v>
      </c>
      <c r="E11" s="95">
        <f>'DOE25'!H12</f>
        <v>0</v>
      </c>
      <c r="F11" s="95">
        <f>'DOE25'!I12</f>
        <v>0</v>
      </c>
      <c r="G11" s="95">
        <f>'DOE25'!J12</f>
        <v>0</v>
      </c>
      <c r="H11" s="124"/>
      <c r="I11" s="124"/>
    </row>
    <row r="12" spans="1:9" x14ac:dyDescent="0.2">
      <c r="A12" s="1" t="s">
        <v>143</v>
      </c>
      <c r="B12" s="6">
        <v>140</v>
      </c>
      <c r="C12" s="95">
        <f>'DOE25'!F13</f>
        <v>1027932.25</v>
      </c>
      <c r="D12" s="95">
        <f>'DOE25'!G13</f>
        <v>0</v>
      </c>
      <c r="E12" s="95">
        <f>'DOE25'!H13</f>
        <v>0</v>
      </c>
      <c r="F12" s="95">
        <f>'DOE25'!I13</f>
        <v>0</v>
      </c>
      <c r="G12" s="95">
        <f>'DOE25'!J13</f>
        <v>0</v>
      </c>
      <c r="H12" s="124"/>
      <c r="I12" s="124"/>
    </row>
    <row r="13" spans="1:9" x14ac:dyDescent="0.2">
      <c r="A13" s="1" t="s">
        <v>144</v>
      </c>
      <c r="B13" s="6">
        <v>150</v>
      </c>
      <c r="C13" s="95">
        <f>'DOE25'!F14</f>
        <v>0</v>
      </c>
      <c r="D13" s="95">
        <f>'DOE25'!G14</f>
        <v>38047.769999999997</v>
      </c>
      <c r="E13" s="95">
        <f>'DOE25'!H14</f>
        <v>248419.04</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10050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2600334.8789999997</v>
      </c>
      <c r="D18" s="41">
        <f>SUM(D8:D17)</f>
        <v>142667.05999999991</v>
      </c>
      <c r="E18" s="41">
        <f>SUM(E8:E17)</f>
        <v>248419.04</v>
      </c>
      <c r="F18" s="41">
        <f>SUM(F8:F17)</f>
        <v>554815.4</v>
      </c>
      <c r="G18" s="41">
        <f>SUM(G8:G17)</f>
        <v>1455940.9377404037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178406.44</v>
      </c>
      <c r="F21" s="95">
        <f>'DOE25'!I22</f>
        <v>19121.54</v>
      </c>
      <c r="G21" s="95">
        <f>'DOE25'!J22</f>
        <v>11951</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83630.91</v>
      </c>
      <c r="D23" s="95">
        <f>'DOE25'!G24</f>
        <v>3178.66</v>
      </c>
      <c r="E23" s="95">
        <f>'DOE25'!H24</f>
        <v>22421.279999999999</v>
      </c>
      <c r="F23" s="95">
        <f>'DOE25'!I24</f>
        <v>2443114.36</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991383.14899999998</v>
      </c>
      <c r="D28" s="95">
        <f>'DOE25'!G29</f>
        <v>0</v>
      </c>
      <c r="E28" s="95">
        <f>'DOE25'!H29</f>
        <v>0</v>
      </c>
      <c r="F28" s="95">
        <f>'DOE25'!I29</f>
        <v>0</v>
      </c>
      <c r="G28" s="24" t="s">
        <v>288</v>
      </c>
      <c r="H28" s="124"/>
      <c r="I28" s="124"/>
    </row>
    <row r="29" spans="1:9" x14ac:dyDescent="0.2">
      <c r="A29" s="1" t="s">
        <v>158</v>
      </c>
      <c r="B29" s="6">
        <v>480</v>
      </c>
      <c r="C29" s="95">
        <f>'DOE25'!F30</f>
        <v>0</v>
      </c>
      <c r="D29" s="95">
        <f>'DOE25'!G30</f>
        <v>75843.460000000006</v>
      </c>
      <c r="E29" s="95">
        <f>'DOE25'!H30</f>
        <v>0</v>
      </c>
      <c r="F29" s="95">
        <f>'DOE25'!I30</f>
        <v>0</v>
      </c>
      <c r="G29" s="24" t="s">
        <v>288</v>
      </c>
      <c r="H29" s="124"/>
      <c r="I29" s="124"/>
    </row>
    <row r="30" spans="1:9" ht="12" thickBot="1" x14ac:dyDescent="0.25">
      <c r="A30" s="1" t="s">
        <v>159</v>
      </c>
      <c r="B30" s="71">
        <v>490</v>
      </c>
      <c r="C30" s="95">
        <f>'DOE25'!F31</f>
        <v>1245.8599999999999</v>
      </c>
      <c r="D30" s="95">
        <f>'DOE25'!G31</f>
        <v>0</v>
      </c>
      <c r="E30" s="95">
        <f>'DOE25'!H31</f>
        <v>0</v>
      </c>
      <c r="F30" s="95">
        <f>'DOE25'!I31</f>
        <v>0</v>
      </c>
      <c r="G30" s="95">
        <f>'DOE25'!J31</f>
        <v>0</v>
      </c>
      <c r="H30" s="124"/>
      <c r="I30" s="124"/>
    </row>
    <row r="31" spans="1:9" ht="12" thickTop="1" x14ac:dyDescent="0.2">
      <c r="A31" s="38" t="s">
        <v>160</v>
      </c>
      <c r="B31" s="2"/>
      <c r="C31" s="41">
        <f>SUM(C21:C30)</f>
        <v>1076259.919</v>
      </c>
      <c r="D31" s="41">
        <f>SUM(D21:D30)</f>
        <v>79022.12000000001</v>
      </c>
      <c r="E31" s="41">
        <f>SUM(E21:E30)</f>
        <v>200827.72</v>
      </c>
      <c r="F31" s="41">
        <f>SUM(F21:F30)</f>
        <v>2462235.9</v>
      </c>
      <c r="G31" s="41">
        <f>SUM(G21:G30)</f>
        <v>11951</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10050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63644.94</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900000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47591.32</v>
      </c>
      <c r="F47" s="95">
        <f>'DOE25'!I48</f>
        <v>-1907420.5</v>
      </c>
      <c r="G47" s="95">
        <f>'DOE25'!J48</f>
        <v>1443989.94</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614024.95999999996</v>
      </c>
      <c r="D49" s="24" t="s">
        <v>288</v>
      </c>
      <c r="E49" s="24" t="s">
        <v>288</v>
      </c>
      <c r="F49" s="24" t="s">
        <v>288</v>
      </c>
      <c r="G49" s="24" t="s">
        <v>288</v>
      </c>
      <c r="H49" s="124"/>
      <c r="I49" s="124"/>
    </row>
    <row r="50" spans="1:9" ht="12.75" thickTop="1" thickBot="1" x14ac:dyDescent="0.25">
      <c r="A50" s="38" t="s">
        <v>884</v>
      </c>
      <c r="B50" s="48"/>
      <c r="C50" s="41">
        <f>SUM(C34:C49)</f>
        <v>1524074.96</v>
      </c>
      <c r="D50" s="41">
        <f>SUM(D34:D49)</f>
        <v>63644.94</v>
      </c>
      <c r="E50" s="41">
        <f>SUM(E34:E49)</f>
        <v>47591.32</v>
      </c>
      <c r="F50" s="41">
        <f>SUM(F34:F49)</f>
        <v>-1907420.5</v>
      </c>
      <c r="G50" s="41">
        <f>SUM(G34:G49)</f>
        <v>1443989.94</v>
      </c>
      <c r="H50" s="124"/>
      <c r="I50" s="124"/>
    </row>
    <row r="51" spans="1:9" ht="12" thickTop="1" x14ac:dyDescent="0.2">
      <c r="A51" s="38" t="s">
        <v>885</v>
      </c>
      <c r="B51" s="2"/>
      <c r="C51" s="41">
        <f>C50+C31</f>
        <v>2600334.8789999997</v>
      </c>
      <c r="D51" s="41">
        <f>D50+D31</f>
        <v>142667.06</v>
      </c>
      <c r="E51" s="41">
        <f>E50+E31</f>
        <v>248419.04</v>
      </c>
      <c r="F51" s="41">
        <f>F50+F31</f>
        <v>554815.39999999991</v>
      </c>
      <c r="G51" s="41">
        <f>G50+G31</f>
        <v>1455940.94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32365568</v>
      </c>
      <c r="D56" s="95">
        <f>'DOE25'!G60</f>
        <v>0</v>
      </c>
      <c r="E56" s="95">
        <f>'DOE25'!H60</f>
        <v>0</v>
      </c>
      <c r="F56" s="95">
        <f>'DOE25'!I60</f>
        <v>0</v>
      </c>
      <c r="G56" s="95">
        <f>'DOE25'!J60</f>
        <v>0</v>
      </c>
      <c r="H56"/>
      <c r="I56"/>
    </row>
    <row r="57" spans="1:9" x14ac:dyDescent="0.2">
      <c r="A57" s="1" t="s">
        <v>164</v>
      </c>
      <c r="B57" s="6" t="s">
        <v>165</v>
      </c>
      <c r="C57" s="95">
        <f>'DOE25'!F79</f>
        <v>2890842.48</v>
      </c>
      <c r="D57" s="24" t="s">
        <v>288</v>
      </c>
      <c r="E57" s="95">
        <f>'DOE25'!H79</f>
        <v>0</v>
      </c>
      <c r="F57" s="24" t="s">
        <v>288</v>
      </c>
      <c r="G57" s="24" t="s">
        <v>288</v>
      </c>
      <c r="H57"/>
      <c r="I57"/>
    </row>
    <row r="58" spans="1:9" x14ac:dyDescent="0.2">
      <c r="A58" s="1" t="s">
        <v>166</v>
      </c>
      <c r="B58" s="6" t="s">
        <v>167</v>
      </c>
      <c r="C58" s="95">
        <f>'DOE25'!F94</f>
        <v>197.41</v>
      </c>
      <c r="D58" s="24" t="s">
        <v>288</v>
      </c>
      <c r="E58" s="95">
        <f>'DOE25'!H94</f>
        <v>0</v>
      </c>
      <c r="F58" s="24" t="s">
        <v>288</v>
      </c>
      <c r="G58" s="24" t="s">
        <v>288</v>
      </c>
      <c r="H58"/>
      <c r="I58"/>
    </row>
    <row r="59" spans="1:9" x14ac:dyDescent="0.2">
      <c r="A59" s="69" t="s">
        <v>168</v>
      </c>
      <c r="B59" s="37" t="s">
        <v>169</v>
      </c>
      <c r="C59" s="95">
        <f>'DOE25'!F96</f>
        <v>14257.41</v>
      </c>
      <c r="D59" s="95">
        <f>'DOE25'!G96</f>
        <v>0</v>
      </c>
      <c r="E59" s="95">
        <f>'DOE25'!H96</f>
        <v>0</v>
      </c>
      <c r="F59" s="95">
        <f>'DOE25'!I96</f>
        <v>0</v>
      </c>
      <c r="G59" s="95">
        <f>'DOE25'!J96</f>
        <v>0</v>
      </c>
      <c r="H59"/>
      <c r="I59"/>
    </row>
    <row r="60" spans="1:9" x14ac:dyDescent="0.2">
      <c r="A60" s="1" t="s">
        <v>170</v>
      </c>
      <c r="B60" s="118" t="s">
        <v>171</v>
      </c>
      <c r="C60" s="24" t="s">
        <v>288</v>
      </c>
      <c r="D60" s="95">
        <f>'DOE25'!G97</f>
        <v>456579.83</v>
      </c>
      <c r="E60" s="24" t="s">
        <v>288</v>
      </c>
      <c r="F60" s="24" t="s">
        <v>288</v>
      </c>
      <c r="G60" s="24" t="s">
        <v>288</v>
      </c>
      <c r="H60"/>
      <c r="I60"/>
    </row>
    <row r="61" spans="1:9" ht="12" thickBot="1" x14ac:dyDescent="0.25">
      <c r="A61" s="1" t="s">
        <v>172</v>
      </c>
      <c r="B61" s="118" t="s">
        <v>173</v>
      </c>
      <c r="C61" s="95">
        <f>SUM('DOE25'!F98:F110)</f>
        <v>59173.520000000004</v>
      </c>
      <c r="D61" s="95">
        <f>SUM('DOE25'!G98:G110)</f>
        <v>750</v>
      </c>
      <c r="E61" s="95">
        <f>SUM('DOE25'!H98:H110)</f>
        <v>62313.46</v>
      </c>
      <c r="F61" s="95">
        <f>SUM('DOE25'!I98:I110)</f>
        <v>0</v>
      </c>
      <c r="G61" s="95">
        <f>SUM('DOE25'!J98:J110)</f>
        <v>76256.73</v>
      </c>
      <c r="H61"/>
      <c r="I61"/>
    </row>
    <row r="62" spans="1:9" ht="12.75" thickTop="1" thickBot="1" x14ac:dyDescent="0.25">
      <c r="A62" s="29" t="s">
        <v>174</v>
      </c>
      <c r="B62" s="6"/>
      <c r="C62" s="130">
        <f>SUM(C57:C61)</f>
        <v>2964470.8200000003</v>
      </c>
      <c r="D62" s="130">
        <f>SUM(D57:D61)</f>
        <v>457329.83</v>
      </c>
      <c r="E62" s="130">
        <f>SUM(E57:E61)</f>
        <v>62313.46</v>
      </c>
      <c r="F62" s="130">
        <f>SUM(F57:F61)</f>
        <v>0</v>
      </c>
      <c r="G62" s="130">
        <f>SUM(G57:G61)</f>
        <v>76256.73</v>
      </c>
      <c r="H62"/>
      <c r="I62"/>
    </row>
    <row r="63" spans="1:9" ht="12" thickTop="1" x14ac:dyDescent="0.2">
      <c r="A63" s="29" t="s">
        <v>175</v>
      </c>
      <c r="B63" s="6"/>
      <c r="C63" s="22">
        <f>C56+C62</f>
        <v>35330038.82</v>
      </c>
      <c r="D63" s="22">
        <f>D56+D62</f>
        <v>457329.83</v>
      </c>
      <c r="E63" s="22">
        <f>E56+E62</f>
        <v>62313.46</v>
      </c>
      <c r="F63" s="22">
        <f>F56+F62</f>
        <v>0</v>
      </c>
      <c r="G63" s="22">
        <f>G56+G62</f>
        <v>76256.73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5254507.6399999997</v>
      </c>
      <c r="D66" s="24" t="s">
        <v>288</v>
      </c>
      <c r="E66" s="24" t="s">
        <v>288</v>
      </c>
      <c r="F66" s="24" t="s">
        <v>288</v>
      </c>
      <c r="G66" s="24" t="s">
        <v>288</v>
      </c>
      <c r="H66"/>
      <c r="I66"/>
    </row>
    <row r="67" spans="1:9" x14ac:dyDescent="0.2">
      <c r="A67" s="1" t="s">
        <v>770</v>
      </c>
      <c r="B67" s="6">
        <v>3112</v>
      </c>
      <c r="C67" s="95">
        <f>'DOE25'!F118</f>
        <v>3897028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1447.7</v>
      </c>
      <c r="D69" s="95">
        <f>'DOE25'!G120</f>
        <v>0</v>
      </c>
      <c r="E69" s="95">
        <f>'DOE25'!H120</f>
        <v>0</v>
      </c>
      <c r="F69" s="95">
        <f>'DOE25'!I120</f>
        <v>0</v>
      </c>
      <c r="G69" s="95">
        <f>'DOE25'!J120</f>
        <v>0</v>
      </c>
      <c r="H69"/>
      <c r="I69"/>
    </row>
    <row r="70" spans="1:9" ht="12" thickTop="1" x14ac:dyDescent="0.2">
      <c r="A70" s="29" t="s">
        <v>252</v>
      </c>
      <c r="B70" s="2"/>
      <c r="C70" s="139">
        <f>SUM(C66:C69)</f>
        <v>9152983.3399999999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523742.09</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125171.88</v>
      </c>
      <c r="D75" s="24" t="s">
        <v>288</v>
      </c>
      <c r="E75" s="24" t="s">
        <v>288</v>
      </c>
      <c r="F75" s="24" t="s">
        <v>288</v>
      </c>
      <c r="G75" s="24" t="s">
        <v>288</v>
      </c>
      <c r="H75"/>
      <c r="I75"/>
    </row>
    <row r="76" spans="1:9" x14ac:dyDescent="0.2">
      <c r="A76" s="1" t="s">
        <v>257</v>
      </c>
      <c r="B76" s="6" t="s">
        <v>179</v>
      </c>
      <c r="C76" s="95">
        <f>SUM('DOE25'!F127:F130)</f>
        <v>4255.3999999999996</v>
      </c>
      <c r="D76" s="24" t="s">
        <v>288</v>
      </c>
      <c r="E76" s="95">
        <f>SUM('DOE25'!H127:H130)</f>
        <v>0</v>
      </c>
      <c r="F76" s="95">
        <f>SUM('DOE25'!I127:I130)</f>
        <v>0</v>
      </c>
      <c r="G76" s="24" t="s">
        <v>288</v>
      </c>
      <c r="H76"/>
      <c r="I76"/>
    </row>
    <row r="77" spans="1:9" ht="12" thickBot="1" x14ac:dyDescent="0.25">
      <c r="A77" s="1" t="s">
        <v>258</v>
      </c>
      <c r="B77" s="6" t="s">
        <v>180</v>
      </c>
      <c r="C77" s="95">
        <f>SUM('DOE25'!F131:F135)</f>
        <v>125600</v>
      </c>
      <c r="D77" s="95">
        <f>SUM('DOE25'!G131:G135)</f>
        <v>8394.01</v>
      </c>
      <c r="E77" s="95">
        <f>SUM('DOE25'!H131:H135)</f>
        <v>16575.07</v>
      </c>
      <c r="F77" s="95">
        <f>SUM('DOE25'!I131:I135)</f>
        <v>0</v>
      </c>
      <c r="G77" s="95">
        <f>SUM('DOE25'!J131:J135)</f>
        <v>0</v>
      </c>
      <c r="H77"/>
      <c r="I77"/>
    </row>
    <row r="78" spans="1:9" ht="12.75" thickTop="1" thickBot="1" x14ac:dyDescent="0.25">
      <c r="A78" s="29" t="s">
        <v>259</v>
      </c>
      <c r="B78" s="6"/>
      <c r="C78" s="130">
        <f>SUM(C72:C77)</f>
        <v>778769.37</v>
      </c>
      <c r="D78" s="130">
        <f>SUM(D72:D77)</f>
        <v>8394.01</v>
      </c>
      <c r="E78" s="130">
        <f>SUM(E72:E77)</f>
        <v>16575.07</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9931752.709999999</v>
      </c>
      <c r="D81" s="130">
        <f>SUM(D79:D80)+D78+D70</f>
        <v>8394.01</v>
      </c>
      <c r="E81" s="130">
        <f>SUM(E79:E80)+E78+E70</f>
        <v>16575.07</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161467.85</v>
      </c>
      <c r="D88" s="341">
        <f>SUM('DOE25'!G153:G162)</f>
        <v>271058.25</v>
      </c>
      <c r="E88" s="341">
        <f>SUM('DOE25'!H153:H162)</f>
        <v>619800.44999999995</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161467.85</v>
      </c>
      <c r="D91" s="131">
        <f>SUM(D85:D90)</f>
        <v>271058.25</v>
      </c>
      <c r="E91" s="131">
        <f>SUM(E85:E90)</f>
        <v>619800.44999999995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3000226.4</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3000226.4</v>
      </c>
      <c r="G103" s="86">
        <f>SUM(G93:G102)</f>
        <v>0</v>
      </c>
    </row>
    <row r="104" spans="1:7" ht="12.75" thickTop="1" thickBot="1" x14ac:dyDescent="0.25">
      <c r="A104" s="33" t="s">
        <v>761</v>
      </c>
      <c r="C104" s="86">
        <f>C63+C81+C91+C103</f>
        <v>45423259.380000003</v>
      </c>
      <c r="D104" s="86">
        <f>D63+D81+D91+D103</f>
        <v>736782.09000000008</v>
      </c>
      <c r="E104" s="86">
        <f>E63+E81+E91+E103</f>
        <v>698688.98</v>
      </c>
      <c r="F104" s="86">
        <f>F63+F81+F91+F103</f>
        <v>3000226.4</v>
      </c>
      <c r="G104" s="86">
        <f>G63+G81+G103</f>
        <v>76256.73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18665570.239999998</v>
      </c>
      <c r="D109" s="24" t="s">
        <v>288</v>
      </c>
      <c r="E109" s="95">
        <f>('DOE25'!L277)+('DOE25'!L296)+('DOE25'!L315)</f>
        <v>45973.24</v>
      </c>
      <c r="F109" s="24" t="s">
        <v>288</v>
      </c>
      <c r="G109" s="24" t="s">
        <v>288</v>
      </c>
    </row>
    <row r="110" spans="1:7" x14ac:dyDescent="0.2">
      <c r="A110" t="s">
        <v>198</v>
      </c>
      <c r="B110" s="32" t="s">
        <v>199</v>
      </c>
      <c r="C110" s="95">
        <f>('DOE25'!L199)+('DOE25'!L217)+('DOE25'!L235)</f>
        <v>6556299.9500000002</v>
      </c>
      <c r="D110" s="24" t="s">
        <v>288</v>
      </c>
      <c r="E110" s="95">
        <f>('DOE25'!L278)+('DOE25'!L297)+('DOE25'!L316)</f>
        <v>506344.66000000003</v>
      </c>
      <c r="F110" s="24" t="s">
        <v>288</v>
      </c>
      <c r="G110" s="24" t="s">
        <v>288</v>
      </c>
    </row>
    <row r="111" spans="1:7" x14ac:dyDescent="0.2">
      <c r="A111" t="s">
        <v>200</v>
      </c>
      <c r="B111" s="32" t="s">
        <v>165</v>
      </c>
      <c r="C111" s="95">
        <f>('DOE25'!L200)+('DOE25'!L218)+('DOE25'!L236)</f>
        <v>38752.769999999997</v>
      </c>
      <c r="D111" s="24" t="s">
        <v>288</v>
      </c>
      <c r="E111" s="95">
        <f>('DOE25'!L279)+('DOE25'!L298)+('DOE25'!L317)</f>
        <v>0</v>
      </c>
      <c r="F111" s="24" t="s">
        <v>288</v>
      </c>
      <c r="G111" s="24" t="s">
        <v>288</v>
      </c>
    </row>
    <row r="112" spans="1:7" x14ac:dyDescent="0.2">
      <c r="A112" t="s">
        <v>201</v>
      </c>
      <c r="B112" s="32" t="s">
        <v>167</v>
      </c>
      <c r="C112" s="95">
        <f>('DOE25'!L201)+('DOE25'!L219)+('DOE25'!L237)</f>
        <v>604928.17000000004</v>
      </c>
      <c r="D112" s="24" t="s">
        <v>288</v>
      </c>
      <c r="E112" s="95">
        <f>+('DOE25'!L280)+('DOE25'!L299)+('DOE25'!L318)</f>
        <v>70935.590000000011</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25865551.129999999</v>
      </c>
      <c r="D115" s="86">
        <f>SUM(D109:D114)</f>
        <v>0</v>
      </c>
      <c r="E115" s="86">
        <f>SUM(E109:E114)</f>
        <v>623253.49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4153513.5199999996</v>
      </c>
      <c r="D118" s="24" t="s">
        <v>288</v>
      </c>
      <c r="E118" s="95">
        <f>+('DOE25'!L282)+('DOE25'!L301)+('DOE25'!L320)</f>
        <v>0</v>
      </c>
      <c r="F118" s="24" t="s">
        <v>288</v>
      </c>
      <c r="G118" s="24" t="s">
        <v>288</v>
      </c>
    </row>
    <row r="119" spans="1:7" x14ac:dyDescent="0.2">
      <c r="A119" t="s">
        <v>208</v>
      </c>
      <c r="B119" s="32" t="s">
        <v>209</v>
      </c>
      <c r="C119" s="95">
        <f>('DOE25'!L204)+('DOE25'!L222)+('DOE25'!L240)</f>
        <v>1029959.1800000002</v>
      </c>
      <c r="D119" s="24" t="s">
        <v>288</v>
      </c>
      <c r="E119" s="95">
        <f>+('DOE25'!L283)+('DOE25'!L302)+('DOE25'!L321)</f>
        <v>59124.42</v>
      </c>
      <c r="F119" s="24" t="s">
        <v>288</v>
      </c>
      <c r="G119" s="24" t="s">
        <v>288</v>
      </c>
    </row>
    <row r="120" spans="1:7" x14ac:dyDescent="0.2">
      <c r="A120" t="s">
        <v>210</v>
      </c>
      <c r="B120" s="32" t="s">
        <v>211</v>
      </c>
      <c r="C120" s="95">
        <f>('DOE25'!L205)+('DOE25'!L223)+('DOE25'!L241)</f>
        <v>1475245.1600000001</v>
      </c>
      <c r="D120" s="24" t="s">
        <v>288</v>
      </c>
      <c r="E120" s="95">
        <f>+('DOE25'!L284)+('DOE25'!L303)+('DOE25'!L322)</f>
        <v>0</v>
      </c>
      <c r="F120" s="24" t="s">
        <v>288</v>
      </c>
      <c r="G120" s="24" t="s">
        <v>288</v>
      </c>
    </row>
    <row r="121" spans="1:7" x14ac:dyDescent="0.2">
      <c r="A121" t="s">
        <v>212</v>
      </c>
      <c r="B121" s="32" t="s">
        <v>213</v>
      </c>
      <c r="C121" s="95">
        <f>('DOE25'!L206)+('DOE25'!L224)+('DOE25'!L242)</f>
        <v>1807630.42</v>
      </c>
      <c r="D121" s="24" t="s">
        <v>288</v>
      </c>
      <c r="E121" s="95">
        <f>+('DOE25'!L285)+('DOE25'!L304)+('DOE25'!L323)</f>
        <v>0</v>
      </c>
      <c r="F121" s="24" t="s">
        <v>288</v>
      </c>
      <c r="G121" s="24" t="s">
        <v>288</v>
      </c>
    </row>
    <row r="122" spans="1:7" x14ac:dyDescent="0.2">
      <c r="A122" t="s">
        <v>214</v>
      </c>
      <c r="B122" s="32" t="s">
        <v>215</v>
      </c>
      <c r="C122" s="95">
        <f>('DOE25'!L207)+('DOE25'!L225)+('DOE25'!L243)</f>
        <v>639843.03</v>
      </c>
      <c r="D122" s="24" t="s">
        <v>288</v>
      </c>
      <c r="E122" s="95">
        <f>+('DOE25'!L286)+('DOE25'!L305)+('DOE25'!L324)</f>
        <v>0</v>
      </c>
      <c r="F122" s="24" t="s">
        <v>288</v>
      </c>
      <c r="G122" s="24" t="s">
        <v>288</v>
      </c>
    </row>
    <row r="123" spans="1:7" x14ac:dyDescent="0.2">
      <c r="A123" t="s">
        <v>216</v>
      </c>
      <c r="B123" s="32" t="s">
        <v>217</v>
      </c>
      <c r="C123" s="95">
        <f>('DOE25'!L208)+('DOE25'!L226)+('DOE25'!L244)</f>
        <v>3140516.59</v>
      </c>
      <c r="D123" s="24" t="s">
        <v>288</v>
      </c>
      <c r="E123" s="95">
        <f>+('DOE25'!L287)+('DOE25'!L306)+('DOE25'!L325)</f>
        <v>0</v>
      </c>
      <c r="F123" s="24" t="s">
        <v>288</v>
      </c>
      <c r="G123" s="24" t="s">
        <v>288</v>
      </c>
    </row>
    <row r="124" spans="1:7" x14ac:dyDescent="0.2">
      <c r="A124" t="s">
        <v>218</v>
      </c>
      <c r="B124" s="32" t="s">
        <v>219</v>
      </c>
      <c r="C124" s="95">
        <f>('DOE25'!L209)+('DOE25'!L227)+('DOE25'!L245+'DOE25'!L255)</f>
        <v>1871554.73</v>
      </c>
      <c r="D124" s="24" t="s">
        <v>288</v>
      </c>
      <c r="E124" s="95">
        <f>+('DOE25'!L288)+('DOE25'!L307)+('DOE25'!L326)</f>
        <v>0</v>
      </c>
      <c r="F124" s="24" t="s">
        <v>288</v>
      </c>
      <c r="G124" s="24" t="s">
        <v>288</v>
      </c>
    </row>
    <row r="125" spans="1:7" x14ac:dyDescent="0.2">
      <c r="A125" t="s">
        <v>220</v>
      </c>
      <c r="B125" s="32" t="s">
        <v>221</v>
      </c>
      <c r="C125" s="95">
        <f>('DOE25'!L210)+('DOE25'!L228)+('DOE25'!L246)</f>
        <v>1422542.2</v>
      </c>
      <c r="D125" s="24" t="s">
        <v>288</v>
      </c>
      <c r="E125" s="95">
        <f>+('DOE25'!L289)+('DOE25'!L308)+('DOE25'!L327)</f>
        <v>82057.429999999993</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738357.24</v>
      </c>
      <c r="E127" s="24" t="s">
        <v>288</v>
      </c>
      <c r="F127" s="24" t="s">
        <v>288</v>
      </c>
      <c r="G127" s="24" t="s">
        <v>288</v>
      </c>
    </row>
    <row r="128" spans="1:7" ht="12.75" thickTop="1" thickBot="1" x14ac:dyDescent="0.25">
      <c r="A128" s="33" t="s">
        <v>226</v>
      </c>
      <c r="C128" s="86">
        <f>SUM(C118:C127)</f>
        <v>15540804.829999998</v>
      </c>
      <c r="D128" s="86">
        <f>SUM(D118:D127)</f>
        <v>738357.24</v>
      </c>
      <c r="E128" s="86">
        <f>SUM(E118:E127)</f>
        <v>141181.84999999998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2128935.15</v>
      </c>
      <c r="D130" s="24" t="s">
        <v>288</v>
      </c>
      <c r="E130" s="129">
        <f>'DOE25'!L337</f>
        <v>0</v>
      </c>
      <c r="F130" s="129">
        <f>SUM('DOE25'!L375:'DOE25'!L381)</f>
        <v>4907646.9000000004</v>
      </c>
      <c r="G130" s="24" t="s">
        <v>288</v>
      </c>
    </row>
    <row r="131" spans="1:7" x14ac:dyDescent="0.2">
      <c r="A131" t="s">
        <v>229</v>
      </c>
      <c r="B131" s="32">
        <v>5110</v>
      </c>
      <c r="C131" s="95">
        <f>'DOE25'!L261</f>
        <v>1285000</v>
      </c>
      <c r="D131" s="24" t="s">
        <v>288</v>
      </c>
      <c r="E131" s="129">
        <f>'DOE25'!L342</f>
        <v>0</v>
      </c>
      <c r="F131" s="24" t="s">
        <v>288</v>
      </c>
      <c r="G131" s="24" t="s">
        <v>288</v>
      </c>
    </row>
    <row r="132" spans="1:7" x14ac:dyDescent="0.2">
      <c r="A132" t="s">
        <v>230</v>
      </c>
      <c r="B132" s="32">
        <v>5120</v>
      </c>
      <c r="C132" s="95">
        <f>'DOE25'!L262</f>
        <v>199134</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11500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13798.73</v>
      </c>
      <c r="D138" s="24" t="s">
        <v>288</v>
      </c>
      <c r="E138" s="24" t="s">
        <v>288</v>
      </c>
      <c r="F138" s="24" t="s">
        <v>288</v>
      </c>
      <c r="G138" s="24" t="s">
        <v>288</v>
      </c>
    </row>
    <row r="139" spans="1:7" x14ac:dyDescent="0.2">
      <c r="A139" t="s">
        <v>239</v>
      </c>
      <c r="B139" s="32">
        <v>5252</v>
      </c>
      <c r="C139" s="95">
        <f>'DOE25'!L402</f>
        <v>62458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-76256.73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3613069.15</v>
      </c>
      <c r="D144" s="141">
        <f>SUM(D130:D143)</f>
        <v>0</v>
      </c>
      <c r="E144" s="141">
        <f>SUM(E130:E143)</f>
        <v>0</v>
      </c>
      <c r="F144" s="141">
        <f>SUM(F130:F143)</f>
        <v>4907646.9000000004</v>
      </c>
      <c r="G144" s="141">
        <f>SUM(G130:G143)</f>
        <v>11500</v>
      </c>
    </row>
    <row r="145" spans="1:9" ht="12.75" thickTop="1" thickBot="1" x14ac:dyDescent="0.25">
      <c r="A145" s="33" t="s">
        <v>244</v>
      </c>
      <c r="C145" s="86">
        <f>(C115+C128+C144)</f>
        <v>45019425.109999992</v>
      </c>
      <c r="D145" s="86">
        <f>(D115+D128+D144)</f>
        <v>738357.24</v>
      </c>
      <c r="E145" s="86">
        <f>(E115+E128+E144)</f>
        <v>764435.34</v>
      </c>
      <c r="F145" s="86">
        <f>(F115+F128+F144)</f>
        <v>4907646.9000000004</v>
      </c>
      <c r="G145" s="86">
        <f>(G115+G128+G144)</f>
        <v>11500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0</v>
      </c>
      <c r="D151" s="153">
        <f>'DOE25'!H491</f>
        <v>0</v>
      </c>
      <c r="E151" s="153">
        <f>'DOE25'!I491</f>
        <v>20</v>
      </c>
      <c r="F151" s="153">
        <f>'DOE25'!J491</f>
        <v>20</v>
      </c>
      <c r="G151" s="24" t="s">
        <v>288</v>
      </c>
    </row>
    <row r="152" spans="1:9" x14ac:dyDescent="0.2">
      <c r="A152" s="136" t="s">
        <v>28</v>
      </c>
      <c r="B152" s="152" t="str">
        <f>'DOE25'!F492</f>
        <v>06/16</v>
      </c>
      <c r="C152" s="152">
        <f>'DOE25'!G492</f>
        <v>0</v>
      </c>
      <c r="D152" s="152">
        <f>'DOE25'!H492</f>
        <v>0</v>
      </c>
      <c r="E152" s="152" t="str">
        <f>'DOE25'!I492</f>
        <v>11/01</v>
      </c>
      <c r="F152" s="152" t="str">
        <f>'DOE25'!J492</f>
        <v>08/03</v>
      </c>
      <c r="G152" s="24" t="s">
        <v>288</v>
      </c>
    </row>
    <row r="153" spans="1:9" x14ac:dyDescent="0.2">
      <c r="A153" s="136" t="s">
        <v>29</v>
      </c>
      <c r="B153" s="152" t="str">
        <f>'DOE25'!F493</f>
        <v>07/26</v>
      </c>
      <c r="C153" s="152">
        <f>'DOE25'!G493</f>
        <v>0</v>
      </c>
      <c r="D153" s="152">
        <f>'DOE25'!H493</f>
        <v>0</v>
      </c>
      <c r="E153" s="152" t="str">
        <f>'DOE25'!I493</f>
        <v>11/21</v>
      </c>
      <c r="F153" s="152" t="str">
        <f>'DOE25'!J493</f>
        <v>02/23</v>
      </c>
      <c r="G153" s="24" t="s">
        <v>288</v>
      </c>
    </row>
    <row r="154" spans="1:9" x14ac:dyDescent="0.2">
      <c r="A154" s="136" t="s">
        <v>30</v>
      </c>
      <c r="B154" s="137">
        <f>'DOE25'!F494</f>
        <v>1500000</v>
      </c>
      <c r="C154" s="137">
        <f>'DOE25'!G494</f>
        <v>0</v>
      </c>
      <c r="D154" s="137">
        <f>'DOE25'!H494</f>
        <v>0</v>
      </c>
      <c r="E154" s="137">
        <f>'DOE25'!I494</f>
        <v>2300000</v>
      </c>
      <c r="F154" s="137">
        <f>'DOE25'!J494</f>
        <v>20406711</v>
      </c>
      <c r="G154" s="24" t="s">
        <v>288</v>
      </c>
    </row>
    <row r="155" spans="1:9" x14ac:dyDescent="0.2">
      <c r="A155" s="136" t="s">
        <v>31</v>
      </c>
      <c r="B155" s="137">
        <f>'DOE25'!F495</f>
        <v>1.88</v>
      </c>
      <c r="C155" s="137">
        <f>'DOE25'!G495</f>
        <v>0</v>
      </c>
      <c r="D155" s="137">
        <f>'DOE25'!H495</f>
        <v>0</v>
      </c>
      <c r="E155" s="137">
        <f>'DOE25'!I495</f>
        <v>4.22</v>
      </c>
      <c r="F155" s="137">
        <f>'DOE25'!J495</f>
        <v>4.09</v>
      </c>
      <c r="G155" s="24" t="s">
        <v>288</v>
      </c>
    </row>
    <row r="156" spans="1:9" x14ac:dyDescent="0.2">
      <c r="A156" s="22" t="s">
        <v>32</v>
      </c>
      <c r="B156" s="137">
        <f>'DOE25'!F496</f>
        <v>1200000</v>
      </c>
      <c r="C156" s="137">
        <f>'DOE25'!G496</f>
        <v>0</v>
      </c>
      <c r="D156" s="137">
        <f>'DOE25'!H496</f>
        <v>0</v>
      </c>
      <c r="E156" s="137">
        <f>'DOE25'!I496</f>
        <v>345000</v>
      </c>
      <c r="F156" s="137">
        <f>'DOE25'!J496</f>
        <v>4080000</v>
      </c>
      <c r="G156" s="138">
        <f>SUM(B156:F156)</f>
        <v>5625000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150000</v>
      </c>
      <c r="C158" s="137">
        <f>'DOE25'!G498</f>
        <v>0</v>
      </c>
      <c r="D158" s="137">
        <f>'DOE25'!H498</f>
        <v>0</v>
      </c>
      <c r="E158" s="137">
        <f>'DOE25'!I498</f>
        <v>115000</v>
      </c>
      <c r="F158" s="137">
        <f>'DOE25'!J498</f>
        <v>1020000</v>
      </c>
      <c r="G158" s="138">
        <f t="shared" si="0"/>
        <v>1285000</v>
      </c>
    </row>
    <row r="159" spans="1:9" x14ac:dyDescent="0.2">
      <c r="A159" s="22" t="s">
        <v>35</v>
      </c>
      <c r="B159" s="137">
        <f>'DOE25'!F499</f>
        <v>1050000</v>
      </c>
      <c r="C159" s="137">
        <f>'DOE25'!G499</f>
        <v>0</v>
      </c>
      <c r="D159" s="137">
        <f>'DOE25'!H499</f>
        <v>0</v>
      </c>
      <c r="E159" s="137">
        <f>'DOE25'!I499</f>
        <v>230000</v>
      </c>
      <c r="F159" s="137">
        <f>'DOE25'!J499</f>
        <v>3060000</v>
      </c>
      <c r="G159" s="138">
        <f t="shared" si="0"/>
        <v>4340000</v>
      </c>
    </row>
    <row r="160" spans="1:9" x14ac:dyDescent="0.2">
      <c r="A160" s="22" t="s">
        <v>36</v>
      </c>
      <c r="B160" s="137">
        <f>'DOE25'!F500</f>
        <v>77878.36</v>
      </c>
      <c r="C160" s="137">
        <f>'DOE25'!G500</f>
        <v>0</v>
      </c>
      <c r="D160" s="137">
        <f>'DOE25'!H500</f>
        <v>0</v>
      </c>
      <c r="E160" s="137">
        <f>'DOE25'!I500</f>
        <v>10781.25</v>
      </c>
      <c r="F160" s="137">
        <f>'DOE25'!J500</f>
        <v>213180</v>
      </c>
      <c r="G160" s="138">
        <f t="shared" si="0"/>
        <v>301839.61</v>
      </c>
    </row>
    <row r="161" spans="1:7" x14ac:dyDescent="0.2">
      <c r="A161" s="22" t="s">
        <v>37</v>
      </c>
      <c r="B161" s="137">
        <f>'DOE25'!F501</f>
        <v>1127878.3600000001</v>
      </c>
      <c r="C161" s="137">
        <f>'DOE25'!G501</f>
        <v>0</v>
      </c>
      <c r="D161" s="137">
        <f>'DOE25'!H501</f>
        <v>0</v>
      </c>
      <c r="E161" s="137">
        <f>'DOE25'!I501</f>
        <v>240781.25</v>
      </c>
      <c r="F161" s="137">
        <f>'DOE25'!J501</f>
        <v>3273180</v>
      </c>
      <c r="G161" s="138">
        <f t="shared" si="0"/>
        <v>4641839.6100000003</v>
      </c>
    </row>
    <row r="162" spans="1:7" x14ac:dyDescent="0.2">
      <c r="A162" s="22" t="s">
        <v>38</v>
      </c>
      <c r="B162" s="137">
        <f>'DOE25'!F502</f>
        <v>150000</v>
      </c>
      <c r="C162" s="137">
        <f>'DOE25'!G502</f>
        <v>0</v>
      </c>
      <c r="D162" s="137">
        <f>'DOE25'!H502</f>
        <v>0</v>
      </c>
      <c r="E162" s="137">
        <f>'DOE25'!I502</f>
        <v>115000</v>
      </c>
      <c r="F162" s="137">
        <f>'DOE25'!J502</f>
        <v>1020000</v>
      </c>
      <c r="G162" s="138">
        <f t="shared" si="0"/>
        <v>1285000</v>
      </c>
    </row>
    <row r="163" spans="1:7" x14ac:dyDescent="0.2">
      <c r="A163" s="22" t="s">
        <v>39</v>
      </c>
      <c r="B163" s="137">
        <f>'DOE25'!F503</f>
        <v>19469.59</v>
      </c>
      <c r="C163" s="137">
        <f>'DOE25'!G503</f>
        <v>0</v>
      </c>
      <c r="D163" s="137">
        <f>'DOE25'!H503</f>
        <v>0</v>
      </c>
      <c r="E163" s="137">
        <f>'DOE25'!I503</f>
        <v>8078.75</v>
      </c>
      <c r="F163" s="137">
        <f>'DOE25'!J503</f>
        <v>117810</v>
      </c>
      <c r="G163" s="138">
        <f t="shared" si="0"/>
        <v>145358.34</v>
      </c>
    </row>
    <row r="164" spans="1:7" x14ac:dyDescent="0.2">
      <c r="A164" s="22" t="s">
        <v>246</v>
      </c>
      <c r="B164" s="137">
        <f>'DOE25'!F504</f>
        <v>169469.59</v>
      </c>
      <c r="C164" s="137">
        <f>'DOE25'!G504</f>
        <v>0</v>
      </c>
      <c r="D164" s="137">
        <f>'DOE25'!H504</f>
        <v>0</v>
      </c>
      <c r="E164" s="137">
        <f>'DOE25'!I504</f>
        <v>123078.75</v>
      </c>
      <c r="F164" s="137">
        <f>'DOE25'!J504</f>
        <v>1137810</v>
      </c>
      <c r="G164" s="138">
        <f t="shared" si="0"/>
        <v>1430358.3399999999</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20" workbookViewId="0">
      <selection activeCell="B20" sqref="B20"/>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4" t="s">
        <v>736</v>
      </c>
      <c r="B1" s="354"/>
      <c r="C1" s="354"/>
      <c r="D1" s="354"/>
    </row>
    <row r="2" spans="1:4" x14ac:dyDescent="0.2">
      <c r="A2" s="187" t="s">
        <v>713</v>
      </c>
      <c r="B2" s="186" t="str">
        <f>'DOE25'!A2</f>
        <v>Oyster River Coop</v>
      </c>
    </row>
    <row r="3" spans="1:4" x14ac:dyDescent="0.2">
      <c r="B3" s="188" t="s">
        <v>1587</v>
      </c>
    </row>
    <row r="4" spans="1:4" x14ac:dyDescent="0.2">
      <c r="B4" t="s">
        <v>61</v>
      </c>
      <c r="C4" s="179">
        <f>IF('DOE25'!F666+'DOE25'!F671=0,0,ROUND('DOE25'!F673,0))</f>
        <v>18390</v>
      </c>
    </row>
    <row r="5" spans="1:4" x14ac:dyDescent="0.2">
      <c r="B5" t="s">
        <v>700</v>
      </c>
      <c r="C5" s="179">
        <f>IF('DOE25'!G666+'DOE25'!G671=0,0,ROUND('DOE25'!G673,0))</f>
        <v>18167</v>
      </c>
    </row>
    <row r="6" spans="1:4" x14ac:dyDescent="0.2">
      <c r="B6" t="s">
        <v>62</v>
      </c>
      <c r="C6" s="179">
        <f>IF('DOE25'!H666+'DOE25'!H671=0,0,ROUND('DOE25'!H673,0))</f>
        <v>18130</v>
      </c>
    </row>
    <row r="7" spans="1:4" x14ac:dyDescent="0.2">
      <c r="B7" t="s">
        <v>701</v>
      </c>
      <c r="C7" s="179">
        <f>IF('DOE25'!I666+'DOE25'!I671=0,0,ROUND('DOE25'!I673,0))</f>
        <v>18224</v>
      </c>
    </row>
    <row r="9" spans="1:4" x14ac:dyDescent="0.2">
      <c r="A9" s="187" t="s">
        <v>94</v>
      </c>
      <c r="B9" s="188" t="s">
        <v>1588</v>
      </c>
      <c r="C9" s="181" t="s">
        <v>720</v>
      </c>
      <c r="D9" s="181" t="s">
        <v>721</v>
      </c>
    </row>
    <row r="10" spans="1:4" x14ac:dyDescent="0.2">
      <c r="A10">
        <v>1100</v>
      </c>
      <c r="B10" t="s">
        <v>702</v>
      </c>
      <c r="C10" s="179">
        <f>ROUND('DOE25'!L198+'DOE25'!L216+'DOE25'!L234+'DOE25'!L277+'DOE25'!L296+'DOE25'!L315,0)</f>
        <v>18711543</v>
      </c>
      <c r="D10" s="182">
        <f>ROUND((C10/$C$28)*100,1)</f>
        <v>43.9</v>
      </c>
    </row>
    <row r="11" spans="1:4" x14ac:dyDescent="0.2">
      <c r="A11">
        <v>1200</v>
      </c>
      <c r="B11" t="s">
        <v>703</v>
      </c>
      <c r="C11" s="179">
        <f>ROUND('DOE25'!L199+'DOE25'!L217+'DOE25'!L235+'DOE25'!L278+'DOE25'!L297+'DOE25'!L316,0)</f>
        <v>7062645</v>
      </c>
      <c r="D11" s="182">
        <f>ROUND((C11/$C$28)*100,1)</f>
        <v>16.600000000000001</v>
      </c>
    </row>
    <row r="12" spans="1:4" x14ac:dyDescent="0.2">
      <c r="A12">
        <v>1300</v>
      </c>
      <c r="B12" t="s">
        <v>704</v>
      </c>
      <c r="C12" s="179">
        <f>ROUND('DOE25'!L200+'DOE25'!L218+'DOE25'!L236+'DOE25'!L279+'DOE25'!L298+'DOE25'!L317,0)</f>
        <v>38753</v>
      </c>
      <c r="D12" s="182">
        <f>ROUND((C12/$C$28)*100,1)</f>
        <v>0.1</v>
      </c>
    </row>
    <row r="13" spans="1:4" x14ac:dyDescent="0.2">
      <c r="A13">
        <v>1400</v>
      </c>
      <c r="B13" t="s">
        <v>705</v>
      </c>
      <c r="C13" s="179">
        <f>ROUND('DOE25'!L201+'DOE25'!L219+'DOE25'!L237+'DOE25'!L280+'DOE25'!L299+'DOE25'!L318,0)</f>
        <v>675864</v>
      </c>
      <c r="D13" s="182">
        <f>ROUND((C13/$C$28)*100,1)</f>
        <v>1.6</v>
      </c>
    </row>
    <row r="14" spans="1:4" x14ac:dyDescent="0.2">
      <c r="D14" s="182"/>
    </row>
    <row r="15" spans="1:4" x14ac:dyDescent="0.2">
      <c r="A15">
        <v>2100</v>
      </c>
      <c r="B15" t="s">
        <v>706</v>
      </c>
      <c r="C15" s="179">
        <f>ROUND('DOE25'!L203+'DOE25'!L221+'DOE25'!L239+'DOE25'!L282+'DOE25'!L301+'DOE25'!L320,0)</f>
        <v>4153514</v>
      </c>
      <c r="D15" s="182">
        <f t="shared" ref="D15:D27" si="0">ROUND((C15/$C$28)*100,1)</f>
        <v>9.6999999999999993</v>
      </c>
    </row>
    <row r="16" spans="1:4" x14ac:dyDescent="0.2">
      <c r="A16">
        <v>2200</v>
      </c>
      <c r="B16" t="s">
        <v>707</v>
      </c>
      <c r="C16" s="179">
        <f>ROUND('DOE25'!L204+'DOE25'!L222+'DOE25'!L240+'DOE25'!L283+'DOE25'!L302+'DOE25'!L321,0)</f>
        <v>1089084</v>
      </c>
      <c r="D16" s="182">
        <f t="shared" si="0"/>
        <v>2.6</v>
      </c>
    </row>
    <row r="17" spans="1:4" x14ac:dyDescent="0.2">
      <c r="A17" s="183" t="s">
        <v>723</v>
      </c>
      <c r="B17" t="s">
        <v>738</v>
      </c>
      <c r="C17" s="179">
        <f>ROUND('DOE25'!L205+'DOE25'!L210+'DOE25'!L223+'DOE25'!L228+'DOE25'!L241+'DOE25'!L246+'DOE25'!L284+'DOE25'!L289+'DOE25'!L303+'DOE25'!L308+'DOE25'!L322+'DOE25'!L327,0)</f>
        <v>2979845</v>
      </c>
      <c r="D17" s="182">
        <f t="shared" si="0"/>
        <v>7</v>
      </c>
    </row>
    <row r="18" spans="1:4" x14ac:dyDescent="0.2">
      <c r="A18">
        <v>2400</v>
      </c>
      <c r="B18" t="s">
        <v>711</v>
      </c>
      <c r="C18" s="179">
        <f>ROUND('DOE25'!L206+'DOE25'!L224+'DOE25'!L242+'DOE25'!L285+'DOE25'!L304+'DOE25'!L323,0)</f>
        <v>1807630</v>
      </c>
      <c r="D18" s="182">
        <f t="shared" si="0"/>
        <v>4.2</v>
      </c>
    </row>
    <row r="19" spans="1:4" x14ac:dyDescent="0.2">
      <c r="A19">
        <v>2500</v>
      </c>
      <c r="B19" t="s">
        <v>708</v>
      </c>
      <c r="C19" s="179">
        <f>ROUND('DOE25'!L207+'DOE25'!L225+'DOE25'!L243+'DOE25'!L286+'DOE25'!L305+'DOE25'!L324,0)</f>
        <v>639843</v>
      </c>
      <c r="D19" s="182">
        <f t="shared" si="0"/>
        <v>1.5</v>
      </c>
    </row>
    <row r="20" spans="1:4" x14ac:dyDescent="0.2">
      <c r="A20">
        <v>2600</v>
      </c>
      <c r="B20" t="s">
        <v>709</v>
      </c>
      <c r="C20" s="179">
        <f>ROUND('DOE25'!L208+'DOE25'!L226+'DOE25'!L244+'DOE25'!L287+'DOE25'!L306+'DOE25'!L325,0)</f>
        <v>3140517</v>
      </c>
      <c r="D20" s="182">
        <f t="shared" si="0"/>
        <v>7.4</v>
      </c>
    </row>
    <row r="21" spans="1:4" x14ac:dyDescent="0.2">
      <c r="A21">
        <v>2700</v>
      </c>
      <c r="B21" t="s">
        <v>710</v>
      </c>
      <c r="C21" s="179">
        <f>ROUND('DOE25'!L209+'DOE25'!L227+'DOE25'!L245+'DOE25'!L288+'DOE25'!L307+'DOE25'!L326,0)</f>
        <v>1871555</v>
      </c>
      <c r="D21" s="182">
        <f t="shared" si="0"/>
        <v>4.4000000000000004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199134</v>
      </c>
      <c r="D25" s="182">
        <f t="shared" si="0"/>
        <v>0.5</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281027.17</v>
      </c>
      <c r="D27" s="182">
        <f t="shared" si="0"/>
        <v>0.7</v>
      </c>
    </row>
    <row r="28" spans="1:4" x14ac:dyDescent="0.2">
      <c r="B28" s="187" t="s">
        <v>719</v>
      </c>
      <c r="C28" s="180">
        <f>SUM(C10:C27)</f>
        <v>42650954.170000002</v>
      </c>
      <c r="D28" s="184">
        <f>ROUND(SUM(D10:D27),0)</f>
        <v>100</v>
      </c>
    </row>
    <row r="29" spans="1:4" x14ac:dyDescent="0.2">
      <c r="A29">
        <v>4000</v>
      </c>
      <c r="B29" t="s">
        <v>724</v>
      </c>
      <c r="C29" s="179">
        <f>ROUND('DOE25'!L256+'DOE25'!L337+'DOE25'!L375+'DOE25'!L376+'DOE25'!L377+'DOE25'!L378+'DOE25'!L379+'DOE25'!L380+'DOE25'!L381,0)</f>
        <v>7036582</v>
      </c>
    </row>
    <row r="30" spans="1:4" x14ac:dyDescent="0.2">
      <c r="B30" s="187" t="s">
        <v>725</v>
      </c>
      <c r="C30" s="180">
        <f>SUM(C28:C29)</f>
        <v>49687536.170000002</v>
      </c>
    </row>
    <row r="31" spans="1:4" x14ac:dyDescent="0.2">
      <c r="B31" s="33"/>
      <c r="C31" s="180"/>
    </row>
    <row r="32" spans="1:4" x14ac:dyDescent="0.2">
      <c r="A32">
        <v>5100</v>
      </c>
      <c r="B32" s="33" t="s">
        <v>726</v>
      </c>
      <c r="C32" s="180">
        <f>ROUND('DOE25'!L261+'DOE25'!L342,0)</f>
        <v>1285000</v>
      </c>
    </row>
    <row r="34" spans="1:4" x14ac:dyDescent="0.2">
      <c r="A34" s="187" t="s">
        <v>94</v>
      </c>
      <c r="B34" s="188" t="s">
        <v>1589</v>
      </c>
      <c r="C34" s="181" t="s">
        <v>720</v>
      </c>
      <c r="D34" s="181" t="s">
        <v>721</v>
      </c>
    </row>
    <row r="35" spans="1:4" x14ac:dyDescent="0.2">
      <c r="A35">
        <v>1100</v>
      </c>
      <c r="B35" s="185" t="s">
        <v>727</v>
      </c>
      <c r="C35" s="179">
        <f>ROUND('DOE25'!F60+'DOE25'!G60+'DOE25'!H60+'DOE25'!I60+'DOE25'!J60,0)</f>
        <v>32365568</v>
      </c>
      <c r="D35" s="182">
        <f t="shared" ref="D35:D40" si="1">ROUND((C35/$C$41)*100,1)</f>
        <v>69.599999999999994</v>
      </c>
    </row>
    <row r="36" spans="1:4" x14ac:dyDescent="0.2">
      <c r="B36" s="185" t="s">
        <v>739</v>
      </c>
      <c r="C36" s="179">
        <f>SUM('DOE25'!F112:J112)-SUM('DOE25'!G97:G110)+('DOE25'!F175+'DOE25'!F176+'DOE25'!I175+'DOE25'!I176)-C35</f>
        <v>3103267.409999989</v>
      </c>
      <c r="D36" s="182">
        <f t="shared" si="1"/>
        <v>6.7</v>
      </c>
    </row>
    <row r="37" spans="1:4" x14ac:dyDescent="0.2">
      <c r="A37" s="183" t="s">
        <v>835</v>
      </c>
      <c r="B37" s="185" t="s">
        <v>728</v>
      </c>
      <c r="C37" s="179">
        <f>ROUND('DOE25'!F117+'DOE25'!F118,0)</f>
        <v>9151536</v>
      </c>
      <c r="D37" s="182">
        <f t="shared" si="1"/>
        <v>19.7</v>
      </c>
    </row>
    <row r="38" spans="1:4" x14ac:dyDescent="0.2">
      <c r="A38" s="183" t="s">
        <v>734</v>
      </c>
      <c r="B38" s="185" t="s">
        <v>729</v>
      </c>
      <c r="C38" s="179">
        <f>ROUND(SUM('DOE25'!F140:J140)-SUM('DOE25'!F117:F119),0)</f>
        <v>805186</v>
      </c>
      <c r="D38" s="182">
        <f t="shared" si="1"/>
        <v>1.7</v>
      </c>
    </row>
    <row r="39" spans="1:4" x14ac:dyDescent="0.2">
      <c r="A39">
        <v>4000</v>
      </c>
      <c r="B39" s="185" t="s">
        <v>730</v>
      </c>
      <c r="C39" s="179">
        <f>ROUND('DOE25'!F170+'DOE25'!G170+'DOE25'!H170+'DOE25'!I170,0)</f>
        <v>1052327</v>
      </c>
      <c r="D39" s="182">
        <f t="shared" si="1"/>
        <v>2.2999999999999998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46477884.409999989</v>
      </c>
      <c r="D41" s="184">
        <f>SUM(D35:D40)</f>
        <v>100</v>
      </c>
    </row>
    <row r="42" spans="1:4" x14ac:dyDescent="0.2">
      <c r="A42" s="183" t="s">
        <v>737</v>
      </c>
      <c r="B42" s="185" t="s">
        <v>733</v>
      </c>
      <c r="C42" s="179">
        <f>ROUND('DOE25'!F174+'DOE25'!I174+'DOE25'!F177+'DOE25'!I177,0)</f>
        <v>3000000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5" t="s">
        <v>766</v>
      </c>
      <c r="B1" s="366"/>
      <c r="C1" s="366"/>
      <c r="D1" s="366"/>
      <c r="E1" s="366"/>
      <c r="F1" s="366"/>
      <c r="G1" s="366"/>
      <c r="H1" s="366"/>
      <c r="I1" s="366"/>
      <c r="J1" s="213"/>
      <c r="K1" s="213"/>
      <c r="L1" s="213"/>
      <c r="M1" s="214"/>
    </row>
    <row r="2" spans="1:26" ht="12.75" x14ac:dyDescent="0.2">
      <c r="A2" s="371" t="s">
        <v>763</v>
      </c>
      <c r="B2" s="372"/>
      <c r="C2" s="372"/>
      <c r="D2" s="372"/>
      <c r="E2" s="372"/>
      <c r="F2" s="369" t="str">
        <f>'DOE25'!A2</f>
        <v>Oyster River Coop</v>
      </c>
      <c r="G2" s="370"/>
      <c r="H2" s="370"/>
      <c r="I2" s="370"/>
      <c r="J2" s="52"/>
      <c r="K2" s="52"/>
      <c r="L2" s="52"/>
      <c r="M2" s="215"/>
    </row>
    <row r="3" spans="1:26" x14ac:dyDescent="0.2">
      <c r="A3" s="216" t="s">
        <v>764</v>
      </c>
      <c r="B3" s="217" t="s">
        <v>765</v>
      </c>
      <c r="C3" s="367" t="s">
        <v>767</v>
      </c>
      <c r="D3" s="367"/>
      <c r="E3" s="367"/>
      <c r="F3" s="367"/>
      <c r="G3" s="367"/>
      <c r="H3" s="367"/>
      <c r="I3" s="367"/>
      <c r="J3" s="367"/>
      <c r="K3" s="367"/>
      <c r="L3" s="367"/>
      <c r="M3" s="368"/>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62"/>
      <c r="Q29" s="362"/>
      <c r="R29" s="362"/>
      <c r="S29" s="362"/>
      <c r="T29" s="362"/>
      <c r="U29" s="362"/>
      <c r="V29" s="362"/>
      <c r="W29" s="362"/>
      <c r="X29" s="362"/>
      <c r="Y29" s="362"/>
      <c r="Z29" s="362"/>
      <c r="AA29" s="207"/>
      <c r="AB29" s="207"/>
      <c r="AC29" s="361"/>
      <c r="AD29" s="361"/>
      <c r="AE29" s="361"/>
      <c r="AF29" s="361"/>
      <c r="AG29" s="361"/>
      <c r="AH29" s="361"/>
      <c r="AI29" s="361"/>
      <c r="AJ29" s="361"/>
      <c r="AK29" s="361"/>
      <c r="AL29" s="361"/>
      <c r="AM29" s="361"/>
      <c r="AN29" s="207"/>
      <c r="AO29" s="207"/>
      <c r="AP29" s="361"/>
      <c r="AQ29" s="361"/>
      <c r="AR29" s="361"/>
      <c r="AS29" s="361"/>
      <c r="AT29" s="361"/>
      <c r="AU29" s="361"/>
      <c r="AV29" s="361"/>
      <c r="AW29" s="361"/>
      <c r="AX29" s="361"/>
      <c r="AY29" s="361"/>
      <c r="AZ29" s="361"/>
      <c r="BA29" s="207"/>
      <c r="BB29" s="207"/>
      <c r="BC29" s="361"/>
      <c r="BD29" s="361"/>
      <c r="BE29" s="361"/>
      <c r="BF29" s="361"/>
      <c r="BG29" s="361"/>
      <c r="BH29" s="361"/>
      <c r="BI29" s="361"/>
      <c r="BJ29" s="361"/>
      <c r="BK29" s="361"/>
      <c r="BL29" s="361"/>
      <c r="BM29" s="361"/>
      <c r="BN29" s="207"/>
      <c r="BO29" s="207"/>
      <c r="BP29" s="361"/>
      <c r="BQ29" s="361"/>
      <c r="BR29" s="361"/>
      <c r="BS29" s="361"/>
      <c r="BT29" s="361"/>
      <c r="BU29" s="361"/>
      <c r="BV29" s="361"/>
      <c r="BW29" s="361"/>
      <c r="BX29" s="361"/>
      <c r="BY29" s="361"/>
      <c r="BZ29" s="361"/>
      <c r="CA29" s="207"/>
      <c r="CB29" s="207"/>
      <c r="CC29" s="361"/>
      <c r="CD29" s="361"/>
      <c r="CE29" s="361"/>
      <c r="CF29" s="361"/>
      <c r="CG29" s="361"/>
      <c r="CH29" s="361"/>
      <c r="CI29" s="361"/>
      <c r="CJ29" s="361"/>
      <c r="CK29" s="361"/>
      <c r="CL29" s="361"/>
      <c r="CM29" s="361"/>
      <c r="CN29" s="207"/>
      <c r="CO29" s="207"/>
      <c r="CP29" s="361"/>
      <c r="CQ29" s="361"/>
      <c r="CR29" s="361"/>
      <c r="CS29" s="361"/>
      <c r="CT29" s="361"/>
      <c r="CU29" s="361"/>
      <c r="CV29" s="361"/>
      <c r="CW29" s="361"/>
      <c r="CX29" s="361"/>
      <c r="CY29" s="361"/>
      <c r="CZ29" s="361"/>
      <c r="DA29" s="207"/>
      <c r="DB29" s="207"/>
      <c r="DC29" s="361"/>
      <c r="DD29" s="361"/>
      <c r="DE29" s="361"/>
      <c r="DF29" s="361"/>
      <c r="DG29" s="361"/>
      <c r="DH29" s="361"/>
      <c r="DI29" s="361"/>
      <c r="DJ29" s="361"/>
      <c r="DK29" s="361"/>
      <c r="DL29" s="361"/>
      <c r="DM29" s="361"/>
      <c r="DN29" s="207"/>
      <c r="DO29" s="207"/>
      <c r="DP29" s="361"/>
      <c r="DQ29" s="361"/>
      <c r="DR29" s="361"/>
      <c r="DS29" s="361"/>
      <c r="DT29" s="361"/>
      <c r="DU29" s="361"/>
      <c r="DV29" s="361"/>
      <c r="DW29" s="361"/>
      <c r="DX29" s="361"/>
      <c r="DY29" s="361"/>
      <c r="DZ29" s="361"/>
      <c r="EA29" s="207"/>
      <c r="EB29" s="207"/>
      <c r="EC29" s="361"/>
      <c r="ED29" s="361"/>
      <c r="EE29" s="361"/>
      <c r="EF29" s="361"/>
      <c r="EG29" s="361"/>
      <c r="EH29" s="361"/>
      <c r="EI29" s="361"/>
      <c r="EJ29" s="361"/>
      <c r="EK29" s="361"/>
      <c r="EL29" s="361"/>
      <c r="EM29" s="361"/>
      <c r="EN29" s="207"/>
      <c r="EO29" s="207"/>
      <c r="EP29" s="361"/>
      <c r="EQ29" s="361"/>
      <c r="ER29" s="361"/>
      <c r="ES29" s="361"/>
      <c r="ET29" s="361"/>
      <c r="EU29" s="361"/>
      <c r="EV29" s="361"/>
      <c r="EW29" s="361"/>
      <c r="EX29" s="361"/>
      <c r="EY29" s="361"/>
      <c r="EZ29" s="361"/>
      <c r="FA29" s="207"/>
      <c r="FB29" s="207"/>
      <c r="FC29" s="361"/>
      <c r="FD29" s="361"/>
      <c r="FE29" s="361"/>
      <c r="FF29" s="361"/>
      <c r="FG29" s="361"/>
      <c r="FH29" s="361"/>
      <c r="FI29" s="361"/>
      <c r="FJ29" s="361"/>
      <c r="FK29" s="361"/>
      <c r="FL29" s="361"/>
      <c r="FM29" s="361"/>
      <c r="FN29" s="207"/>
      <c r="FO29" s="207"/>
      <c r="FP29" s="361"/>
      <c r="FQ29" s="361"/>
      <c r="FR29" s="361"/>
      <c r="FS29" s="361"/>
      <c r="FT29" s="361"/>
      <c r="FU29" s="361"/>
      <c r="FV29" s="361"/>
      <c r="FW29" s="361"/>
      <c r="FX29" s="361"/>
      <c r="FY29" s="361"/>
      <c r="FZ29" s="361"/>
      <c r="GA29" s="207"/>
      <c r="GB29" s="207"/>
      <c r="GC29" s="361"/>
      <c r="GD29" s="361"/>
      <c r="GE29" s="361"/>
      <c r="GF29" s="361"/>
      <c r="GG29" s="361"/>
      <c r="GH29" s="361"/>
      <c r="GI29" s="361"/>
      <c r="GJ29" s="361"/>
      <c r="GK29" s="361"/>
      <c r="GL29" s="361"/>
      <c r="GM29" s="361"/>
      <c r="GN29" s="207"/>
      <c r="GO29" s="207"/>
      <c r="GP29" s="361"/>
      <c r="GQ29" s="361"/>
      <c r="GR29" s="361"/>
      <c r="GS29" s="361"/>
      <c r="GT29" s="361"/>
      <c r="GU29" s="361"/>
      <c r="GV29" s="361"/>
      <c r="GW29" s="361"/>
      <c r="GX29" s="361"/>
      <c r="GY29" s="361"/>
      <c r="GZ29" s="361"/>
      <c r="HA29" s="207"/>
      <c r="HB29" s="207"/>
      <c r="HC29" s="361"/>
      <c r="HD29" s="361"/>
      <c r="HE29" s="361"/>
      <c r="HF29" s="361"/>
      <c r="HG29" s="361"/>
      <c r="HH29" s="361"/>
      <c r="HI29" s="361"/>
      <c r="HJ29" s="361"/>
      <c r="HK29" s="361"/>
      <c r="HL29" s="361"/>
      <c r="HM29" s="361"/>
      <c r="HN29" s="207"/>
      <c r="HO29" s="207"/>
      <c r="HP29" s="361"/>
      <c r="HQ29" s="361"/>
      <c r="HR29" s="361"/>
      <c r="HS29" s="361"/>
      <c r="HT29" s="361"/>
      <c r="HU29" s="361"/>
      <c r="HV29" s="361"/>
      <c r="HW29" s="361"/>
      <c r="HX29" s="361"/>
      <c r="HY29" s="361"/>
      <c r="HZ29" s="361"/>
      <c r="IA29" s="207"/>
      <c r="IB29" s="207"/>
      <c r="IC29" s="361"/>
      <c r="ID29" s="361"/>
      <c r="IE29" s="361"/>
      <c r="IF29" s="361"/>
      <c r="IG29" s="361"/>
      <c r="IH29" s="361"/>
      <c r="II29" s="361"/>
      <c r="IJ29" s="361"/>
      <c r="IK29" s="361"/>
      <c r="IL29" s="361"/>
      <c r="IM29" s="361"/>
      <c r="IN29" s="207"/>
      <c r="IO29" s="207"/>
      <c r="IP29" s="361"/>
      <c r="IQ29" s="361"/>
      <c r="IR29" s="361"/>
      <c r="IS29" s="361"/>
      <c r="IT29" s="361"/>
      <c r="IU29" s="361"/>
      <c r="IV29" s="361"/>
    </row>
    <row r="30" spans="1:256" x14ac:dyDescent="0.2">
      <c r="A30" s="218"/>
      <c r="B30" s="219"/>
      <c r="C30" s="356"/>
      <c r="D30" s="356"/>
      <c r="E30" s="356"/>
      <c r="F30" s="356"/>
      <c r="G30" s="356"/>
      <c r="H30" s="356"/>
      <c r="I30" s="356"/>
      <c r="J30" s="356"/>
      <c r="K30" s="356"/>
      <c r="L30" s="356"/>
      <c r="M30" s="357"/>
      <c r="N30" s="211"/>
      <c r="O30" s="211"/>
      <c r="P30" s="362"/>
      <c r="Q30" s="362"/>
      <c r="R30" s="362"/>
      <c r="S30" s="362"/>
      <c r="T30" s="362"/>
      <c r="U30" s="362"/>
      <c r="V30" s="362"/>
      <c r="W30" s="362"/>
      <c r="X30" s="362"/>
      <c r="Y30" s="362"/>
      <c r="Z30" s="362"/>
      <c r="AA30" s="207"/>
      <c r="AB30" s="207"/>
      <c r="AC30" s="361"/>
      <c r="AD30" s="361"/>
      <c r="AE30" s="361"/>
      <c r="AF30" s="361"/>
      <c r="AG30" s="361"/>
      <c r="AH30" s="361"/>
      <c r="AI30" s="361"/>
      <c r="AJ30" s="361"/>
      <c r="AK30" s="361"/>
      <c r="AL30" s="361"/>
      <c r="AM30" s="361"/>
      <c r="AN30" s="207"/>
      <c r="AO30" s="207"/>
      <c r="AP30" s="361"/>
      <c r="AQ30" s="361"/>
      <c r="AR30" s="361"/>
      <c r="AS30" s="361"/>
      <c r="AT30" s="361"/>
      <c r="AU30" s="361"/>
      <c r="AV30" s="361"/>
      <c r="AW30" s="361"/>
      <c r="AX30" s="361"/>
      <c r="AY30" s="361"/>
      <c r="AZ30" s="361"/>
      <c r="BA30" s="207"/>
      <c r="BB30" s="207"/>
      <c r="BC30" s="361"/>
      <c r="BD30" s="361"/>
      <c r="BE30" s="361"/>
      <c r="BF30" s="361"/>
      <c r="BG30" s="361"/>
      <c r="BH30" s="361"/>
      <c r="BI30" s="361"/>
      <c r="BJ30" s="361"/>
      <c r="BK30" s="361"/>
      <c r="BL30" s="361"/>
      <c r="BM30" s="361"/>
      <c r="BN30" s="207"/>
      <c r="BO30" s="207"/>
      <c r="BP30" s="361"/>
      <c r="BQ30" s="361"/>
      <c r="BR30" s="361"/>
      <c r="BS30" s="361"/>
      <c r="BT30" s="361"/>
      <c r="BU30" s="361"/>
      <c r="BV30" s="361"/>
      <c r="BW30" s="361"/>
      <c r="BX30" s="361"/>
      <c r="BY30" s="361"/>
      <c r="BZ30" s="361"/>
      <c r="CA30" s="207"/>
      <c r="CB30" s="207"/>
      <c r="CC30" s="361"/>
      <c r="CD30" s="361"/>
      <c r="CE30" s="361"/>
      <c r="CF30" s="361"/>
      <c r="CG30" s="361"/>
      <c r="CH30" s="361"/>
      <c r="CI30" s="361"/>
      <c r="CJ30" s="361"/>
      <c r="CK30" s="361"/>
      <c r="CL30" s="361"/>
      <c r="CM30" s="361"/>
      <c r="CN30" s="207"/>
      <c r="CO30" s="207"/>
      <c r="CP30" s="361"/>
      <c r="CQ30" s="361"/>
      <c r="CR30" s="361"/>
      <c r="CS30" s="361"/>
      <c r="CT30" s="361"/>
      <c r="CU30" s="361"/>
      <c r="CV30" s="361"/>
      <c r="CW30" s="361"/>
      <c r="CX30" s="361"/>
      <c r="CY30" s="361"/>
      <c r="CZ30" s="361"/>
      <c r="DA30" s="207"/>
      <c r="DB30" s="207"/>
      <c r="DC30" s="361"/>
      <c r="DD30" s="361"/>
      <c r="DE30" s="361"/>
      <c r="DF30" s="361"/>
      <c r="DG30" s="361"/>
      <c r="DH30" s="361"/>
      <c r="DI30" s="361"/>
      <c r="DJ30" s="361"/>
      <c r="DK30" s="361"/>
      <c r="DL30" s="361"/>
      <c r="DM30" s="361"/>
      <c r="DN30" s="207"/>
      <c r="DO30" s="207"/>
      <c r="DP30" s="361"/>
      <c r="DQ30" s="361"/>
      <c r="DR30" s="361"/>
      <c r="DS30" s="361"/>
      <c r="DT30" s="361"/>
      <c r="DU30" s="361"/>
      <c r="DV30" s="361"/>
      <c r="DW30" s="361"/>
      <c r="DX30" s="361"/>
      <c r="DY30" s="361"/>
      <c r="DZ30" s="361"/>
      <c r="EA30" s="207"/>
      <c r="EB30" s="207"/>
      <c r="EC30" s="361"/>
      <c r="ED30" s="361"/>
      <c r="EE30" s="361"/>
      <c r="EF30" s="361"/>
      <c r="EG30" s="361"/>
      <c r="EH30" s="361"/>
      <c r="EI30" s="361"/>
      <c r="EJ30" s="361"/>
      <c r="EK30" s="361"/>
      <c r="EL30" s="361"/>
      <c r="EM30" s="361"/>
      <c r="EN30" s="207"/>
      <c r="EO30" s="207"/>
      <c r="EP30" s="361"/>
      <c r="EQ30" s="361"/>
      <c r="ER30" s="361"/>
      <c r="ES30" s="361"/>
      <c r="ET30" s="361"/>
      <c r="EU30" s="361"/>
      <c r="EV30" s="361"/>
      <c r="EW30" s="361"/>
      <c r="EX30" s="361"/>
      <c r="EY30" s="361"/>
      <c r="EZ30" s="361"/>
      <c r="FA30" s="207"/>
      <c r="FB30" s="207"/>
      <c r="FC30" s="361"/>
      <c r="FD30" s="361"/>
      <c r="FE30" s="361"/>
      <c r="FF30" s="361"/>
      <c r="FG30" s="361"/>
      <c r="FH30" s="361"/>
      <c r="FI30" s="361"/>
      <c r="FJ30" s="361"/>
      <c r="FK30" s="361"/>
      <c r="FL30" s="361"/>
      <c r="FM30" s="361"/>
      <c r="FN30" s="207"/>
      <c r="FO30" s="207"/>
      <c r="FP30" s="361"/>
      <c r="FQ30" s="361"/>
      <c r="FR30" s="361"/>
      <c r="FS30" s="361"/>
      <c r="FT30" s="361"/>
      <c r="FU30" s="361"/>
      <c r="FV30" s="361"/>
      <c r="FW30" s="361"/>
      <c r="FX30" s="361"/>
      <c r="FY30" s="361"/>
      <c r="FZ30" s="361"/>
      <c r="GA30" s="207"/>
      <c r="GB30" s="207"/>
      <c r="GC30" s="361"/>
      <c r="GD30" s="361"/>
      <c r="GE30" s="361"/>
      <c r="GF30" s="361"/>
      <c r="GG30" s="361"/>
      <c r="GH30" s="361"/>
      <c r="GI30" s="361"/>
      <c r="GJ30" s="361"/>
      <c r="GK30" s="361"/>
      <c r="GL30" s="361"/>
      <c r="GM30" s="361"/>
      <c r="GN30" s="207"/>
      <c r="GO30" s="207"/>
      <c r="GP30" s="361"/>
      <c r="GQ30" s="361"/>
      <c r="GR30" s="361"/>
      <c r="GS30" s="361"/>
      <c r="GT30" s="361"/>
      <c r="GU30" s="361"/>
      <c r="GV30" s="361"/>
      <c r="GW30" s="361"/>
      <c r="GX30" s="361"/>
      <c r="GY30" s="361"/>
      <c r="GZ30" s="361"/>
      <c r="HA30" s="207"/>
      <c r="HB30" s="207"/>
      <c r="HC30" s="361"/>
      <c r="HD30" s="361"/>
      <c r="HE30" s="361"/>
      <c r="HF30" s="361"/>
      <c r="HG30" s="361"/>
      <c r="HH30" s="361"/>
      <c r="HI30" s="361"/>
      <c r="HJ30" s="361"/>
      <c r="HK30" s="361"/>
      <c r="HL30" s="361"/>
      <c r="HM30" s="361"/>
      <c r="HN30" s="207"/>
      <c r="HO30" s="207"/>
      <c r="HP30" s="361"/>
      <c r="HQ30" s="361"/>
      <c r="HR30" s="361"/>
      <c r="HS30" s="361"/>
      <c r="HT30" s="361"/>
      <c r="HU30" s="361"/>
      <c r="HV30" s="361"/>
      <c r="HW30" s="361"/>
      <c r="HX30" s="361"/>
      <c r="HY30" s="361"/>
      <c r="HZ30" s="361"/>
      <c r="IA30" s="207"/>
      <c r="IB30" s="207"/>
      <c r="IC30" s="361"/>
      <c r="ID30" s="361"/>
      <c r="IE30" s="361"/>
      <c r="IF30" s="361"/>
      <c r="IG30" s="361"/>
      <c r="IH30" s="361"/>
      <c r="II30" s="361"/>
      <c r="IJ30" s="361"/>
      <c r="IK30" s="361"/>
      <c r="IL30" s="361"/>
      <c r="IM30" s="361"/>
      <c r="IN30" s="207"/>
      <c r="IO30" s="207"/>
      <c r="IP30" s="361"/>
      <c r="IQ30" s="361"/>
      <c r="IR30" s="361"/>
      <c r="IS30" s="361"/>
      <c r="IT30" s="361"/>
      <c r="IU30" s="361"/>
      <c r="IV30" s="361"/>
    </row>
    <row r="31" spans="1:256" x14ac:dyDescent="0.2">
      <c r="A31" s="218"/>
      <c r="B31" s="219"/>
      <c r="C31" s="356"/>
      <c r="D31" s="356"/>
      <c r="E31" s="356"/>
      <c r="F31" s="356"/>
      <c r="G31" s="356"/>
      <c r="H31" s="356"/>
      <c r="I31" s="356"/>
      <c r="J31" s="356"/>
      <c r="K31" s="356"/>
      <c r="L31" s="356"/>
      <c r="M31" s="357"/>
      <c r="N31" s="211"/>
      <c r="O31" s="211"/>
      <c r="P31" s="362"/>
      <c r="Q31" s="362"/>
      <c r="R31" s="362"/>
      <c r="S31" s="362"/>
      <c r="T31" s="362"/>
      <c r="U31" s="362"/>
      <c r="V31" s="362"/>
      <c r="W31" s="362"/>
      <c r="X31" s="362"/>
      <c r="Y31" s="362"/>
      <c r="Z31" s="362"/>
      <c r="AA31" s="207"/>
      <c r="AB31" s="207"/>
      <c r="AC31" s="361"/>
      <c r="AD31" s="361"/>
      <c r="AE31" s="361"/>
      <c r="AF31" s="361"/>
      <c r="AG31" s="361"/>
      <c r="AH31" s="361"/>
      <c r="AI31" s="361"/>
      <c r="AJ31" s="361"/>
      <c r="AK31" s="361"/>
      <c r="AL31" s="361"/>
      <c r="AM31" s="361"/>
      <c r="AN31" s="207"/>
      <c r="AO31" s="207"/>
      <c r="AP31" s="361"/>
      <c r="AQ31" s="361"/>
      <c r="AR31" s="361"/>
      <c r="AS31" s="361"/>
      <c r="AT31" s="361"/>
      <c r="AU31" s="361"/>
      <c r="AV31" s="361"/>
      <c r="AW31" s="361"/>
      <c r="AX31" s="361"/>
      <c r="AY31" s="361"/>
      <c r="AZ31" s="361"/>
      <c r="BA31" s="207"/>
      <c r="BB31" s="207"/>
      <c r="BC31" s="361"/>
      <c r="BD31" s="361"/>
      <c r="BE31" s="361"/>
      <c r="BF31" s="361"/>
      <c r="BG31" s="361"/>
      <c r="BH31" s="361"/>
      <c r="BI31" s="361"/>
      <c r="BJ31" s="361"/>
      <c r="BK31" s="361"/>
      <c r="BL31" s="361"/>
      <c r="BM31" s="361"/>
      <c r="BN31" s="207"/>
      <c r="BO31" s="207"/>
      <c r="BP31" s="361"/>
      <c r="BQ31" s="361"/>
      <c r="BR31" s="361"/>
      <c r="BS31" s="361"/>
      <c r="BT31" s="361"/>
      <c r="BU31" s="361"/>
      <c r="BV31" s="361"/>
      <c r="BW31" s="361"/>
      <c r="BX31" s="361"/>
      <c r="BY31" s="361"/>
      <c r="BZ31" s="361"/>
      <c r="CA31" s="207"/>
      <c r="CB31" s="207"/>
      <c r="CC31" s="361"/>
      <c r="CD31" s="361"/>
      <c r="CE31" s="361"/>
      <c r="CF31" s="361"/>
      <c r="CG31" s="361"/>
      <c r="CH31" s="361"/>
      <c r="CI31" s="361"/>
      <c r="CJ31" s="361"/>
      <c r="CK31" s="361"/>
      <c r="CL31" s="361"/>
      <c r="CM31" s="361"/>
      <c r="CN31" s="207"/>
      <c r="CO31" s="207"/>
      <c r="CP31" s="361"/>
      <c r="CQ31" s="361"/>
      <c r="CR31" s="361"/>
      <c r="CS31" s="361"/>
      <c r="CT31" s="361"/>
      <c r="CU31" s="361"/>
      <c r="CV31" s="361"/>
      <c r="CW31" s="361"/>
      <c r="CX31" s="361"/>
      <c r="CY31" s="361"/>
      <c r="CZ31" s="361"/>
      <c r="DA31" s="207"/>
      <c r="DB31" s="207"/>
      <c r="DC31" s="361"/>
      <c r="DD31" s="361"/>
      <c r="DE31" s="361"/>
      <c r="DF31" s="361"/>
      <c r="DG31" s="361"/>
      <c r="DH31" s="361"/>
      <c r="DI31" s="361"/>
      <c r="DJ31" s="361"/>
      <c r="DK31" s="361"/>
      <c r="DL31" s="361"/>
      <c r="DM31" s="361"/>
      <c r="DN31" s="207"/>
      <c r="DO31" s="207"/>
      <c r="DP31" s="361"/>
      <c r="DQ31" s="361"/>
      <c r="DR31" s="361"/>
      <c r="DS31" s="361"/>
      <c r="DT31" s="361"/>
      <c r="DU31" s="361"/>
      <c r="DV31" s="361"/>
      <c r="DW31" s="361"/>
      <c r="DX31" s="361"/>
      <c r="DY31" s="361"/>
      <c r="DZ31" s="361"/>
      <c r="EA31" s="207"/>
      <c r="EB31" s="207"/>
      <c r="EC31" s="361"/>
      <c r="ED31" s="361"/>
      <c r="EE31" s="361"/>
      <c r="EF31" s="361"/>
      <c r="EG31" s="361"/>
      <c r="EH31" s="361"/>
      <c r="EI31" s="361"/>
      <c r="EJ31" s="361"/>
      <c r="EK31" s="361"/>
      <c r="EL31" s="361"/>
      <c r="EM31" s="361"/>
      <c r="EN31" s="207"/>
      <c r="EO31" s="207"/>
      <c r="EP31" s="361"/>
      <c r="EQ31" s="361"/>
      <c r="ER31" s="361"/>
      <c r="ES31" s="361"/>
      <c r="ET31" s="361"/>
      <c r="EU31" s="361"/>
      <c r="EV31" s="361"/>
      <c r="EW31" s="361"/>
      <c r="EX31" s="361"/>
      <c r="EY31" s="361"/>
      <c r="EZ31" s="361"/>
      <c r="FA31" s="207"/>
      <c r="FB31" s="207"/>
      <c r="FC31" s="361"/>
      <c r="FD31" s="361"/>
      <c r="FE31" s="361"/>
      <c r="FF31" s="361"/>
      <c r="FG31" s="361"/>
      <c r="FH31" s="361"/>
      <c r="FI31" s="361"/>
      <c r="FJ31" s="361"/>
      <c r="FK31" s="361"/>
      <c r="FL31" s="361"/>
      <c r="FM31" s="361"/>
      <c r="FN31" s="207"/>
      <c r="FO31" s="207"/>
      <c r="FP31" s="361"/>
      <c r="FQ31" s="361"/>
      <c r="FR31" s="361"/>
      <c r="FS31" s="361"/>
      <c r="FT31" s="361"/>
      <c r="FU31" s="361"/>
      <c r="FV31" s="361"/>
      <c r="FW31" s="361"/>
      <c r="FX31" s="361"/>
      <c r="FY31" s="361"/>
      <c r="FZ31" s="361"/>
      <c r="GA31" s="207"/>
      <c r="GB31" s="207"/>
      <c r="GC31" s="361"/>
      <c r="GD31" s="361"/>
      <c r="GE31" s="361"/>
      <c r="GF31" s="361"/>
      <c r="GG31" s="361"/>
      <c r="GH31" s="361"/>
      <c r="GI31" s="361"/>
      <c r="GJ31" s="361"/>
      <c r="GK31" s="361"/>
      <c r="GL31" s="361"/>
      <c r="GM31" s="361"/>
      <c r="GN31" s="207"/>
      <c r="GO31" s="207"/>
      <c r="GP31" s="361"/>
      <c r="GQ31" s="361"/>
      <c r="GR31" s="361"/>
      <c r="GS31" s="361"/>
      <c r="GT31" s="361"/>
      <c r="GU31" s="361"/>
      <c r="GV31" s="361"/>
      <c r="GW31" s="361"/>
      <c r="GX31" s="361"/>
      <c r="GY31" s="361"/>
      <c r="GZ31" s="361"/>
      <c r="HA31" s="207"/>
      <c r="HB31" s="207"/>
      <c r="HC31" s="361"/>
      <c r="HD31" s="361"/>
      <c r="HE31" s="361"/>
      <c r="HF31" s="361"/>
      <c r="HG31" s="361"/>
      <c r="HH31" s="361"/>
      <c r="HI31" s="361"/>
      <c r="HJ31" s="361"/>
      <c r="HK31" s="361"/>
      <c r="HL31" s="361"/>
      <c r="HM31" s="361"/>
      <c r="HN31" s="207"/>
      <c r="HO31" s="207"/>
      <c r="HP31" s="361"/>
      <c r="HQ31" s="361"/>
      <c r="HR31" s="361"/>
      <c r="HS31" s="361"/>
      <c r="HT31" s="361"/>
      <c r="HU31" s="361"/>
      <c r="HV31" s="361"/>
      <c r="HW31" s="361"/>
      <c r="HX31" s="361"/>
      <c r="HY31" s="361"/>
      <c r="HZ31" s="361"/>
      <c r="IA31" s="207"/>
      <c r="IB31" s="207"/>
      <c r="IC31" s="361"/>
      <c r="ID31" s="361"/>
      <c r="IE31" s="361"/>
      <c r="IF31" s="361"/>
      <c r="IG31" s="361"/>
      <c r="IH31" s="361"/>
      <c r="II31" s="361"/>
      <c r="IJ31" s="361"/>
      <c r="IK31" s="361"/>
      <c r="IL31" s="361"/>
      <c r="IM31" s="361"/>
      <c r="IN31" s="207"/>
      <c r="IO31" s="207"/>
      <c r="IP31" s="361"/>
      <c r="IQ31" s="361"/>
      <c r="IR31" s="361"/>
      <c r="IS31" s="361"/>
      <c r="IT31" s="361"/>
      <c r="IU31" s="361"/>
      <c r="IV31" s="361"/>
    </row>
    <row r="32" spans="1:256" x14ac:dyDescent="0.2">
      <c r="A32" s="218"/>
      <c r="B32" s="219"/>
      <c r="C32" s="356"/>
      <c r="D32" s="356"/>
      <c r="E32" s="356"/>
      <c r="F32" s="356"/>
      <c r="G32" s="356"/>
      <c r="H32" s="356"/>
      <c r="I32" s="356"/>
      <c r="J32" s="356"/>
      <c r="K32" s="356"/>
      <c r="L32" s="356"/>
      <c r="M32" s="357"/>
      <c r="N32" s="223"/>
      <c r="O32" s="223"/>
      <c r="P32" s="363"/>
      <c r="Q32" s="363"/>
      <c r="R32" s="363"/>
      <c r="S32" s="363"/>
      <c r="T32" s="363"/>
      <c r="U32" s="363"/>
      <c r="V32" s="363"/>
      <c r="W32" s="363"/>
      <c r="X32" s="363"/>
      <c r="Y32" s="363"/>
      <c r="Z32" s="364"/>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62"/>
      <c r="Q38" s="362"/>
      <c r="R38" s="362"/>
      <c r="S38" s="362"/>
      <c r="T38" s="362"/>
      <c r="U38" s="362"/>
      <c r="V38" s="362"/>
      <c r="W38" s="362"/>
      <c r="X38" s="362"/>
      <c r="Y38" s="362"/>
      <c r="Z38" s="362"/>
      <c r="AA38" s="207"/>
      <c r="AB38" s="207"/>
      <c r="AC38" s="361"/>
      <c r="AD38" s="361"/>
      <c r="AE38" s="361"/>
      <c r="AF38" s="361"/>
      <c r="AG38" s="361"/>
      <c r="AH38" s="361"/>
      <c r="AI38" s="361"/>
      <c r="AJ38" s="361"/>
      <c r="AK38" s="361"/>
      <c r="AL38" s="361"/>
      <c r="AM38" s="361"/>
      <c r="AN38" s="207"/>
      <c r="AO38" s="207"/>
      <c r="AP38" s="361"/>
      <c r="AQ38" s="361"/>
      <c r="AR38" s="361"/>
      <c r="AS38" s="361"/>
      <c r="AT38" s="361"/>
      <c r="AU38" s="361"/>
      <c r="AV38" s="361"/>
      <c r="AW38" s="361"/>
      <c r="AX38" s="361"/>
      <c r="AY38" s="361"/>
      <c r="AZ38" s="361"/>
      <c r="BA38" s="207"/>
      <c r="BB38" s="207"/>
      <c r="BC38" s="361"/>
      <c r="BD38" s="361"/>
      <c r="BE38" s="361"/>
      <c r="BF38" s="361"/>
      <c r="BG38" s="361"/>
      <c r="BH38" s="361"/>
      <c r="BI38" s="361"/>
      <c r="BJ38" s="361"/>
      <c r="BK38" s="361"/>
      <c r="BL38" s="361"/>
      <c r="BM38" s="361"/>
      <c r="BN38" s="207"/>
      <c r="BO38" s="207"/>
      <c r="BP38" s="361"/>
      <c r="BQ38" s="361"/>
      <c r="BR38" s="361"/>
      <c r="BS38" s="361"/>
      <c r="BT38" s="361"/>
      <c r="BU38" s="361"/>
      <c r="BV38" s="361"/>
      <c r="BW38" s="361"/>
      <c r="BX38" s="361"/>
      <c r="BY38" s="361"/>
      <c r="BZ38" s="361"/>
      <c r="CA38" s="207"/>
      <c r="CB38" s="207"/>
      <c r="CC38" s="361"/>
      <c r="CD38" s="361"/>
      <c r="CE38" s="361"/>
      <c r="CF38" s="361"/>
      <c r="CG38" s="361"/>
      <c r="CH38" s="361"/>
      <c r="CI38" s="361"/>
      <c r="CJ38" s="361"/>
      <c r="CK38" s="361"/>
      <c r="CL38" s="361"/>
      <c r="CM38" s="361"/>
      <c r="CN38" s="207"/>
      <c r="CO38" s="207"/>
      <c r="CP38" s="361"/>
      <c r="CQ38" s="361"/>
      <c r="CR38" s="361"/>
      <c r="CS38" s="361"/>
      <c r="CT38" s="361"/>
      <c r="CU38" s="361"/>
      <c r="CV38" s="361"/>
      <c r="CW38" s="361"/>
      <c r="CX38" s="361"/>
      <c r="CY38" s="361"/>
      <c r="CZ38" s="361"/>
      <c r="DA38" s="207"/>
      <c r="DB38" s="207"/>
      <c r="DC38" s="361"/>
      <c r="DD38" s="361"/>
      <c r="DE38" s="361"/>
      <c r="DF38" s="361"/>
      <c r="DG38" s="361"/>
      <c r="DH38" s="361"/>
      <c r="DI38" s="361"/>
      <c r="DJ38" s="361"/>
      <c r="DK38" s="361"/>
      <c r="DL38" s="361"/>
      <c r="DM38" s="361"/>
      <c r="DN38" s="207"/>
      <c r="DO38" s="207"/>
      <c r="DP38" s="361"/>
      <c r="DQ38" s="361"/>
      <c r="DR38" s="361"/>
      <c r="DS38" s="361"/>
      <c r="DT38" s="361"/>
      <c r="DU38" s="361"/>
      <c r="DV38" s="361"/>
      <c r="DW38" s="361"/>
      <c r="DX38" s="361"/>
      <c r="DY38" s="361"/>
      <c r="DZ38" s="361"/>
      <c r="EA38" s="207"/>
      <c r="EB38" s="207"/>
      <c r="EC38" s="361"/>
      <c r="ED38" s="361"/>
      <c r="EE38" s="361"/>
      <c r="EF38" s="361"/>
      <c r="EG38" s="361"/>
      <c r="EH38" s="361"/>
      <c r="EI38" s="361"/>
      <c r="EJ38" s="361"/>
      <c r="EK38" s="361"/>
      <c r="EL38" s="361"/>
      <c r="EM38" s="361"/>
      <c r="EN38" s="207"/>
      <c r="EO38" s="207"/>
      <c r="EP38" s="361"/>
      <c r="EQ38" s="361"/>
      <c r="ER38" s="361"/>
      <c r="ES38" s="361"/>
      <c r="ET38" s="361"/>
      <c r="EU38" s="361"/>
      <c r="EV38" s="361"/>
      <c r="EW38" s="361"/>
      <c r="EX38" s="361"/>
      <c r="EY38" s="361"/>
      <c r="EZ38" s="361"/>
      <c r="FA38" s="207"/>
      <c r="FB38" s="207"/>
      <c r="FC38" s="361"/>
      <c r="FD38" s="361"/>
      <c r="FE38" s="361"/>
      <c r="FF38" s="361"/>
      <c r="FG38" s="361"/>
      <c r="FH38" s="361"/>
      <c r="FI38" s="361"/>
      <c r="FJ38" s="361"/>
      <c r="FK38" s="361"/>
      <c r="FL38" s="361"/>
      <c r="FM38" s="361"/>
      <c r="FN38" s="207"/>
      <c r="FO38" s="207"/>
      <c r="FP38" s="361"/>
      <c r="FQ38" s="361"/>
      <c r="FR38" s="361"/>
      <c r="FS38" s="361"/>
      <c r="FT38" s="361"/>
      <c r="FU38" s="361"/>
      <c r="FV38" s="361"/>
      <c r="FW38" s="361"/>
      <c r="FX38" s="361"/>
      <c r="FY38" s="361"/>
      <c r="FZ38" s="361"/>
      <c r="GA38" s="207"/>
      <c r="GB38" s="207"/>
      <c r="GC38" s="361"/>
      <c r="GD38" s="361"/>
      <c r="GE38" s="361"/>
      <c r="GF38" s="361"/>
      <c r="GG38" s="361"/>
      <c r="GH38" s="361"/>
      <c r="GI38" s="361"/>
      <c r="GJ38" s="361"/>
      <c r="GK38" s="361"/>
      <c r="GL38" s="361"/>
      <c r="GM38" s="361"/>
      <c r="GN38" s="207"/>
      <c r="GO38" s="207"/>
      <c r="GP38" s="361"/>
      <c r="GQ38" s="361"/>
      <c r="GR38" s="361"/>
      <c r="GS38" s="361"/>
      <c r="GT38" s="361"/>
      <c r="GU38" s="361"/>
      <c r="GV38" s="361"/>
      <c r="GW38" s="361"/>
      <c r="GX38" s="361"/>
      <c r="GY38" s="361"/>
      <c r="GZ38" s="361"/>
      <c r="HA38" s="207"/>
      <c r="HB38" s="207"/>
      <c r="HC38" s="361"/>
      <c r="HD38" s="361"/>
      <c r="HE38" s="361"/>
      <c r="HF38" s="361"/>
      <c r="HG38" s="361"/>
      <c r="HH38" s="361"/>
      <c r="HI38" s="361"/>
      <c r="HJ38" s="361"/>
      <c r="HK38" s="361"/>
      <c r="HL38" s="361"/>
      <c r="HM38" s="361"/>
      <c r="HN38" s="207"/>
      <c r="HO38" s="207"/>
      <c r="HP38" s="361"/>
      <c r="HQ38" s="361"/>
      <c r="HR38" s="361"/>
      <c r="HS38" s="361"/>
      <c r="HT38" s="361"/>
      <c r="HU38" s="361"/>
      <c r="HV38" s="361"/>
      <c r="HW38" s="361"/>
      <c r="HX38" s="361"/>
      <c r="HY38" s="361"/>
      <c r="HZ38" s="361"/>
      <c r="IA38" s="207"/>
      <c r="IB38" s="207"/>
      <c r="IC38" s="361"/>
      <c r="ID38" s="361"/>
      <c r="IE38" s="361"/>
      <c r="IF38" s="361"/>
      <c r="IG38" s="361"/>
      <c r="IH38" s="361"/>
      <c r="II38" s="361"/>
      <c r="IJ38" s="361"/>
      <c r="IK38" s="361"/>
      <c r="IL38" s="361"/>
      <c r="IM38" s="361"/>
      <c r="IN38" s="207"/>
      <c r="IO38" s="207"/>
      <c r="IP38" s="361"/>
      <c r="IQ38" s="361"/>
      <c r="IR38" s="361"/>
      <c r="IS38" s="361"/>
      <c r="IT38" s="361"/>
      <c r="IU38" s="361"/>
      <c r="IV38" s="361"/>
    </row>
    <row r="39" spans="1:256" x14ac:dyDescent="0.2">
      <c r="A39" s="218"/>
      <c r="B39" s="219"/>
      <c r="C39" s="356"/>
      <c r="D39" s="356"/>
      <c r="E39" s="356"/>
      <c r="F39" s="356"/>
      <c r="G39" s="356"/>
      <c r="H39" s="356"/>
      <c r="I39" s="356"/>
      <c r="J39" s="356"/>
      <c r="K39" s="356"/>
      <c r="L39" s="356"/>
      <c r="M39" s="357"/>
      <c r="N39" s="211"/>
      <c r="O39" s="211"/>
      <c r="P39" s="362"/>
      <c r="Q39" s="362"/>
      <c r="R39" s="362"/>
      <c r="S39" s="362"/>
      <c r="T39" s="362"/>
      <c r="U39" s="362"/>
      <c r="V39" s="362"/>
      <c r="W39" s="362"/>
      <c r="X39" s="362"/>
      <c r="Y39" s="362"/>
      <c r="Z39" s="362"/>
      <c r="AA39" s="207"/>
      <c r="AB39" s="207"/>
      <c r="AC39" s="361"/>
      <c r="AD39" s="361"/>
      <c r="AE39" s="361"/>
      <c r="AF39" s="361"/>
      <c r="AG39" s="361"/>
      <c r="AH39" s="361"/>
      <c r="AI39" s="361"/>
      <c r="AJ39" s="361"/>
      <c r="AK39" s="361"/>
      <c r="AL39" s="361"/>
      <c r="AM39" s="361"/>
      <c r="AN39" s="207"/>
      <c r="AO39" s="207"/>
      <c r="AP39" s="361"/>
      <c r="AQ39" s="361"/>
      <c r="AR39" s="361"/>
      <c r="AS39" s="361"/>
      <c r="AT39" s="361"/>
      <c r="AU39" s="361"/>
      <c r="AV39" s="361"/>
      <c r="AW39" s="361"/>
      <c r="AX39" s="361"/>
      <c r="AY39" s="361"/>
      <c r="AZ39" s="361"/>
      <c r="BA39" s="207"/>
      <c r="BB39" s="207"/>
      <c r="BC39" s="361"/>
      <c r="BD39" s="361"/>
      <c r="BE39" s="361"/>
      <c r="BF39" s="361"/>
      <c r="BG39" s="361"/>
      <c r="BH39" s="361"/>
      <c r="BI39" s="361"/>
      <c r="BJ39" s="361"/>
      <c r="BK39" s="361"/>
      <c r="BL39" s="361"/>
      <c r="BM39" s="361"/>
      <c r="BN39" s="207"/>
      <c r="BO39" s="207"/>
      <c r="BP39" s="361"/>
      <c r="BQ39" s="361"/>
      <c r="BR39" s="361"/>
      <c r="BS39" s="361"/>
      <c r="BT39" s="361"/>
      <c r="BU39" s="361"/>
      <c r="BV39" s="361"/>
      <c r="BW39" s="361"/>
      <c r="BX39" s="361"/>
      <c r="BY39" s="361"/>
      <c r="BZ39" s="361"/>
      <c r="CA39" s="207"/>
      <c r="CB39" s="207"/>
      <c r="CC39" s="361"/>
      <c r="CD39" s="361"/>
      <c r="CE39" s="361"/>
      <c r="CF39" s="361"/>
      <c r="CG39" s="361"/>
      <c r="CH39" s="361"/>
      <c r="CI39" s="361"/>
      <c r="CJ39" s="361"/>
      <c r="CK39" s="361"/>
      <c r="CL39" s="361"/>
      <c r="CM39" s="361"/>
      <c r="CN39" s="207"/>
      <c r="CO39" s="207"/>
      <c r="CP39" s="361"/>
      <c r="CQ39" s="361"/>
      <c r="CR39" s="361"/>
      <c r="CS39" s="361"/>
      <c r="CT39" s="361"/>
      <c r="CU39" s="361"/>
      <c r="CV39" s="361"/>
      <c r="CW39" s="361"/>
      <c r="CX39" s="361"/>
      <c r="CY39" s="361"/>
      <c r="CZ39" s="361"/>
      <c r="DA39" s="207"/>
      <c r="DB39" s="207"/>
      <c r="DC39" s="361"/>
      <c r="DD39" s="361"/>
      <c r="DE39" s="361"/>
      <c r="DF39" s="361"/>
      <c r="DG39" s="361"/>
      <c r="DH39" s="361"/>
      <c r="DI39" s="361"/>
      <c r="DJ39" s="361"/>
      <c r="DK39" s="361"/>
      <c r="DL39" s="361"/>
      <c r="DM39" s="361"/>
      <c r="DN39" s="207"/>
      <c r="DO39" s="207"/>
      <c r="DP39" s="361"/>
      <c r="DQ39" s="361"/>
      <c r="DR39" s="361"/>
      <c r="DS39" s="361"/>
      <c r="DT39" s="361"/>
      <c r="DU39" s="361"/>
      <c r="DV39" s="361"/>
      <c r="DW39" s="361"/>
      <c r="DX39" s="361"/>
      <c r="DY39" s="361"/>
      <c r="DZ39" s="361"/>
      <c r="EA39" s="207"/>
      <c r="EB39" s="207"/>
      <c r="EC39" s="361"/>
      <c r="ED39" s="361"/>
      <c r="EE39" s="361"/>
      <c r="EF39" s="361"/>
      <c r="EG39" s="361"/>
      <c r="EH39" s="361"/>
      <c r="EI39" s="361"/>
      <c r="EJ39" s="361"/>
      <c r="EK39" s="361"/>
      <c r="EL39" s="361"/>
      <c r="EM39" s="361"/>
      <c r="EN39" s="207"/>
      <c r="EO39" s="207"/>
      <c r="EP39" s="361"/>
      <c r="EQ39" s="361"/>
      <c r="ER39" s="361"/>
      <c r="ES39" s="361"/>
      <c r="ET39" s="361"/>
      <c r="EU39" s="361"/>
      <c r="EV39" s="361"/>
      <c r="EW39" s="361"/>
      <c r="EX39" s="361"/>
      <c r="EY39" s="361"/>
      <c r="EZ39" s="361"/>
      <c r="FA39" s="207"/>
      <c r="FB39" s="207"/>
      <c r="FC39" s="361"/>
      <c r="FD39" s="361"/>
      <c r="FE39" s="361"/>
      <c r="FF39" s="361"/>
      <c r="FG39" s="361"/>
      <c r="FH39" s="361"/>
      <c r="FI39" s="361"/>
      <c r="FJ39" s="361"/>
      <c r="FK39" s="361"/>
      <c r="FL39" s="361"/>
      <c r="FM39" s="361"/>
      <c r="FN39" s="207"/>
      <c r="FO39" s="207"/>
      <c r="FP39" s="361"/>
      <c r="FQ39" s="361"/>
      <c r="FR39" s="361"/>
      <c r="FS39" s="361"/>
      <c r="FT39" s="361"/>
      <c r="FU39" s="361"/>
      <c r="FV39" s="361"/>
      <c r="FW39" s="361"/>
      <c r="FX39" s="361"/>
      <c r="FY39" s="361"/>
      <c r="FZ39" s="361"/>
      <c r="GA39" s="207"/>
      <c r="GB39" s="207"/>
      <c r="GC39" s="361"/>
      <c r="GD39" s="361"/>
      <c r="GE39" s="361"/>
      <c r="GF39" s="361"/>
      <c r="GG39" s="361"/>
      <c r="GH39" s="361"/>
      <c r="GI39" s="361"/>
      <c r="GJ39" s="361"/>
      <c r="GK39" s="361"/>
      <c r="GL39" s="361"/>
      <c r="GM39" s="361"/>
      <c r="GN39" s="207"/>
      <c r="GO39" s="207"/>
      <c r="GP39" s="361"/>
      <c r="GQ39" s="361"/>
      <c r="GR39" s="361"/>
      <c r="GS39" s="361"/>
      <c r="GT39" s="361"/>
      <c r="GU39" s="361"/>
      <c r="GV39" s="361"/>
      <c r="GW39" s="361"/>
      <c r="GX39" s="361"/>
      <c r="GY39" s="361"/>
      <c r="GZ39" s="361"/>
      <c r="HA39" s="207"/>
      <c r="HB39" s="207"/>
      <c r="HC39" s="361"/>
      <c r="HD39" s="361"/>
      <c r="HE39" s="361"/>
      <c r="HF39" s="361"/>
      <c r="HG39" s="361"/>
      <c r="HH39" s="361"/>
      <c r="HI39" s="361"/>
      <c r="HJ39" s="361"/>
      <c r="HK39" s="361"/>
      <c r="HL39" s="361"/>
      <c r="HM39" s="361"/>
      <c r="HN39" s="207"/>
      <c r="HO39" s="207"/>
      <c r="HP39" s="361"/>
      <c r="HQ39" s="361"/>
      <c r="HR39" s="361"/>
      <c r="HS39" s="361"/>
      <c r="HT39" s="361"/>
      <c r="HU39" s="361"/>
      <c r="HV39" s="361"/>
      <c r="HW39" s="361"/>
      <c r="HX39" s="361"/>
      <c r="HY39" s="361"/>
      <c r="HZ39" s="361"/>
      <c r="IA39" s="207"/>
      <c r="IB39" s="207"/>
      <c r="IC39" s="361"/>
      <c r="ID39" s="361"/>
      <c r="IE39" s="361"/>
      <c r="IF39" s="361"/>
      <c r="IG39" s="361"/>
      <c r="IH39" s="361"/>
      <c r="II39" s="361"/>
      <c r="IJ39" s="361"/>
      <c r="IK39" s="361"/>
      <c r="IL39" s="361"/>
      <c r="IM39" s="361"/>
      <c r="IN39" s="207"/>
      <c r="IO39" s="207"/>
      <c r="IP39" s="361"/>
      <c r="IQ39" s="361"/>
      <c r="IR39" s="361"/>
      <c r="IS39" s="361"/>
      <c r="IT39" s="361"/>
      <c r="IU39" s="361"/>
      <c r="IV39" s="361"/>
    </row>
    <row r="40" spans="1:256" x14ac:dyDescent="0.2">
      <c r="A40" s="218"/>
      <c r="B40" s="219"/>
      <c r="C40" s="356"/>
      <c r="D40" s="356"/>
      <c r="E40" s="356"/>
      <c r="F40" s="356"/>
      <c r="G40" s="356"/>
      <c r="H40" s="356"/>
      <c r="I40" s="356"/>
      <c r="J40" s="356"/>
      <c r="K40" s="356"/>
      <c r="L40" s="356"/>
      <c r="M40" s="357"/>
      <c r="N40" s="211"/>
      <c r="O40" s="211"/>
      <c r="P40" s="362"/>
      <c r="Q40" s="362"/>
      <c r="R40" s="362"/>
      <c r="S40" s="362"/>
      <c r="T40" s="362"/>
      <c r="U40" s="362"/>
      <c r="V40" s="362"/>
      <c r="W40" s="362"/>
      <c r="X40" s="362"/>
      <c r="Y40" s="362"/>
      <c r="Z40" s="362"/>
      <c r="AA40" s="207"/>
      <c r="AB40" s="207"/>
      <c r="AC40" s="361"/>
      <c r="AD40" s="361"/>
      <c r="AE40" s="361"/>
      <c r="AF40" s="361"/>
      <c r="AG40" s="361"/>
      <c r="AH40" s="361"/>
      <c r="AI40" s="361"/>
      <c r="AJ40" s="361"/>
      <c r="AK40" s="361"/>
      <c r="AL40" s="361"/>
      <c r="AM40" s="361"/>
      <c r="AN40" s="207"/>
      <c r="AO40" s="207"/>
      <c r="AP40" s="361"/>
      <c r="AQ40" s="361"/>
      <c r="AR40" s="361"/>
      <c r="AS40" s="361"/>
      <c r="AT40" s="361"/>
      <c r="AU40" s="361"/>
      <c r="AV40" s="361"/>
      <c r="AW40" s="361"/>
      <c r="AX40" s="361"/>
      <c r="AY40" s="361"/>
      <c r="AZ40" s="361"/>
      <c r="BA40" s="207"/>
      <c r="BB40" s="207"/>
      <c r="BC40" s="361"/>
      <c r="BD40" s="361"/>
      <c r="BE40" s="361"/>
      <c r="BF40" s="361"/>
      <c r="BG40" s="361"/>
      <c r="BH40" s="361"/>
      <c r="BI40" s="361"/>
      <c r="BJ40" s="361"/>
      <c r="BK40" s="361"/>
      <c r="BL40" s="361"/>
      <c r="BM40" s="361"/>
      <c r="BN40" s="207"/>
      <c r="BO40" s="207"/>
      <c r="BP40" s="361"/>
      <c r="BQ40" s="361"/>
      <c r="BR40" s="361"/>
      <c r="BS40" s="361"/>
      <c r="BT40" s="361"/>
      <c r="BU40" s="361"/>
      <c r="BV40" s="361"/>
      <c r="BW40" s="361"/>
      <c r="BX40" s="361"/>
      <c r="BY40" s="361"/>
      <c r="BZ40" s="361"/>
      <c r="CA40" s="207"/>
      <c r="CB40" s="207"/>
      <c r="CC40" s="361"/>
      <c r="CD40" s="361"/>
      <c r="CE40" s="361"/>
      <c r="CF40" s="361"/>
      <c r="CG40" s="361"/>
      <c r="CH40" s="361"/>
      <c r="CI40" s="361"/>
      <c r="CJ40" s="361"/>
      <c r="CK40" s="361"/>
      <c r="CL40" s="361"/>
      <c r="CM40" s="361"/>
      <c r="CN40" s="207"/>
      <c r="CO40" s="207"/>
      <c r="CP40" s="361"/>
      <c r="CQ40" s="361"/>
      <c r="CR40" s="361"/>
      <c r="CS40" s="361"/>
      <c r="CT40" s="361"/>
      <c r="CU40" s="361"/>
      <c r="CV40" s="361"/>
      <c r="CW40" s="361"/>
      <c r="CX40" s="361"/>
      <c r="CY40" s="361"/>
      <c r="CZ40" s="361"/>
      <c r="DA40" s="207"/>
      <c r="DB40" s="207"/>
      <c r="DC40" s="361"/>
      <c r="DD40" s="361"/>
      <c r="DE40" s="361"/>
      <c r="DF40" s="361"/>
      <c r="DG40" s="361"/>
      <c r="DH40" s="361"/>
      <c r="DI40" s="361"/>
      <c r="DJ40" s="361"/>
      <c r="DK40" s="361"/>
      <c r="DL40" s="361"/>
      <c r="DM40" s="361"/>
      <c r="DN40" s="207"/>
      <c r="DO40" s="207"/>
      <c r="DP40" s="361"/>
      <c r="DQ40" s="361"/>
      <c r="DR40" s="361"/>
      <c r="DS40" s="361"/>
      <c r="DT40" s="361"/>
      <c r="DU40" s="361"/>
      <c r="DV40" s="361"/>
      <c r="DW40" s="361"/>
      <c r="DX40" s="361"/>
      <c r="DY40" s="361"/>
      <c r="DZ40" s="361"/>
      <c r="EA40" s="207"/>
      <c r="EB40" s="207"/>
      <c r="EC40" s="361"/>
      <c r="ED40" s="361"/>
      <c r="EE40" s="361"/>
      <c r="EF40" s="361"/>
      <c r="EG40" s="361"/>
      <c r="EH40" s="361"/>
      <c r="EI40" s="361"/>
      <c r="EJ40" s="361"/>
      <c r="EK40" s="361"/>
      <c r="EL40" s="361"/>
      <c r="EM40" s="361"/>
      <c r="EN40" s="207"/>
      <c r="EO40" s="207"/>
      <c r="EP40" s="361"/>
      <c r="EQ40" s="361"/>
      <c r="ER40" s="361"/>
      <c r="ES40" s="361"/>
      <c r="ET40" s="361"/>
      <c r="EU40" s="361"/>
      <c r="EV40" s="361"/>
      <c r="EW40" s="361"/>
      <c r="EX40" s="361"/>
      <c r="EY40" s="361"/>
      <c r="EZ40" s="361"/>
      <c r="FA40" s="207"/>
      <c r="FB40" s="207"/>
      <c r="FC40" s="361"/>
      <c r="FD40" s="361"/>
      <c r="FE40" s="361"/>
      <c r="FF40" s="361"/>
      <c r="FG40" s="361"/>
      <c r="FH40" s="361"/>
      <c r="FI40" s="361"/>
      <c r="FJ40" s="361"/>
      <c r="FK40" s="361"/>
      <c r="FL40" s="361"/>
      <c r="FM40" s="361"/>
      <c r="FN40" s="207"/>
      <c r="FO40" s="207"/>
      <c r="FP40" s="361"/>
      <c r="FQ40" s="361"/>
      <c r="FR40" s="361"/>
      <c r="FS40" s="361"/>
      <c r="FT40" s="361"/>
      <c r="FU40" s="361"/>
      <c r="FV40" s="361"/>
      <c r="FW40" s="361"/>
      <c r="FX40" s="361"/>
      <c r="FY40" s="361"/>
      <c r="FZ40" s="361"/>
      <c r="GA40" s="207"/>
      <c r="GB40" s="207"/>
      <c r="GC40" s="361"/>
      <c r="GD40" s="361"/>
      <c r="GE40" s="361"/>
      <c r="GF40" s="361"/>
      <c r="GG40" s="361"/>
      <c r="GH40" s="361"/>
      <c r="GI40" s="361"/>
      <c r="GJ40" s="361"/>
      <c r="GK40" s="361"/>
      <c r="GL40" s="361"/>
      <c r="GM40" s="361"/>
      <c r="GN40" s="207"/>
      <c r="GO40" s="207"/>
      <c r="GP40" s="361"/>
      <c r="GQ40" s="361"/>
      <c r="GR40" s="361"/>
      <c r="GS40" s="361"/>
      <c r="GT40" s="361"/>
      <c r="GU40" s="361"/>
      <c r="GV40" s="361"/>
      <c r="GW40" s="361"/>
      <c r="GX40" s="361"/>
      <c r="GY40" s="361"/>
      <c r="GZ40" s="361"/>
      <c r="HA40" s="207"/>
      <c r="HB40" s="207"/>
      <c r="HC40" s="361"/>
      <c r="HD40" s="361"/>
      <c r="HE40" s="361"/>
      <c r="HF40" s="361"/>
      <c r="HG40" s="361"/>
      <c r="HH40" s="361"/>
      <c r="HI40" s="361"/>
      <c r="HJ40" s="361"/>
      <c r="HK40" s="361"/>
      <c r="HL40" s="361"/>
      <c r="HM40" s="361"/>
      <c r="HN40" s="207"/>
      <c r="HO40" s="207"/>
      <c r="HP40" s="361"/>
      <c r="HQ40" s="361"/>
      <c r="HR40" s="361"/>
      <c r="HS40" s="361"/>
      <c r="HT40" s="361"/>
      <c r="HU40" s="361"/>
      <c r="HV40" s="361"/>
      <c r="HW40" s="361"/>
      <c r="HX40" s="361"/>
      <c r="HY40" s="361"/>
      <c r="HZ40" s="361"/>
      <c r="IA40" s="207"/>
      <c r="IB40" s="207"/>
      <c r="IC40" s="361"/>
      <c r="ID40" s="361"/>
      <c r="IE40" s="361"/>
      <c r="IF40" s="361"/>
      <c r="IG40" s="361"/>
      <c r="IH40" s="361"/>
      <c r="II40" s="361"/>
      <c r="IJ40" s="361"/>
      <c r="IK40" s="361"/>
      <c r="IL40" s="361"/>
      <c r="IM40" s="361"/>
      <c r="IN40" s="207"/>
      <c r="IO40" s="207"/>
      <c r="IP40" s="361"/>
      <c r="IQ40" s="361"/>
      <c r="IR40" s="361"/>
      <c r="IS40" s="361"/>
      <c r="IT40" s="361"/>
      <c r="IU40" s="361"/>
      <c r="IV40" s="361"/>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58"/>
      <c r="D70" s="358"/>
      <c r="E70" s="358"/>
      <c r="F70" s="358"/>
      <c r="G70" s="358"/>
      <c r="H70" s="358"/>
      <c r="I70" s="358"/>
      <c r="J70" s="358"/>
      <c r="K70" s="358"/>
      <c r="L70" s="358"/>
      <c r="M70" s="359"/>
    </row>
    <row r="71" spans="1:13" ht="12" thickTop="1" x14ac:dyDescent="0.2">
      <c r="A71" s="208"/>
      <c r="B71" s="208"/>
      <c r="C71" s="209"/>
      <c r="D71" s="209"/>
      <c r="E71" s="209"/>
      <c r="F71" s="209"/>
      <c r="G71" s="209"/>
      <c r="H71" s="209"/>
      <c r="I71" s="209"/>
      <c r="J71" s="209"/>
      <c r="K71" s="209"/>
      <c r="L71" s="209"/>
    </row>
    <row r="72" spans="1:13" ht="12.75" x14ac:dyDescent="0.2">
      <c r="A72" s="360" t="s">
        <v>832</v>
      </c>
      <c r="B72" s="360"/>
      <c r="C72" s="360"/>
      <c r="D72" s="360"/>
      <c r="E72" s="360"/>
      <c r="F72" s="126"/>
      <c r="G72" s="126"/>
      <c r="H72" s="126"/>
      <c r="I72" s="126"/>
      <c r="J72" s="126"/>
      <c r="K72" s="126"/>
      <c r="L72" s="126"/>
      <c r="M72" s="126"/>
    </row>
    <row r="73" spans="1:13" x14ac:dyDescent="0.2">
      <c r="A73" s="210" t="s">
        <v>764</v>
      </c>
      <c r="B73" s="210" t="s">
        <v>765</v>
      </c>
      <c r="C73" s="355"/>
      <c r="D73" s="355"/>
      <c r="E73" s="355"/>
      <c r="F73" s="355"/>
      <c r="G73" s="355"/>
      <c r="H73" s="355"/>
      <c r="I73" s="355"/>
      <c r="J73" s="355"/>
      <c r="K73" s="355"/>
      <c r="L73" s="355"/>
      <c r="M73" s="355"/>
    </row>
    <row r="74" spans="1:13" x14ac:dyDescent="0.2">
      <c r="A74" s="211"/>
      <c r="B74" s="211"/>
      <c r="C74" s="355"/>
      <c r="D74" s="355"/>
      <c r="E74" s="355"/>
      <c r="F74" s="355"/>
      <c r="G74" s="355"/>
      <c r="H74" s="355"/>
      <c r="I74" s="355"/>
      <c r="J74" s="355"/>
      <c r="K74" s="355"/>
      <c r="L74" s="355"/>
      <c r="M74" s="355"/>
    </row>
    <row r="75" spans="1:13" x14ac:dyDescent="0.2">
      <c r="A75" s="211"/>
      <c r="B75" s="211"/>
      <c r="C75" s="355"/>
      <c r="D75" s="355"/>
      <c r="E75" s="355"/>
      <c r="F75" s="355"/>
      <c r="G75" s="355"/>
      <c r="H75" s="355"/>
      <c r="I75" s="355"/>
      <c r="J75" s="355"/>
      <c r="K75" s="355"/>
      <c r="L75" s="355"/>
      <c r="M75" s="355"/>
    </row>
    <row r="76" spans="1:13" x14ac:dyDescent="0.2">
      <c r="A76" s="211"/>
      <c r="B76" s="211"/>
      <c r="C76" s="355"/>
      <c r="D76" s="355"/>
      <c r="E76" s="355"/>
      <c r="F76" s="355"/>
      <c r="G76" s="355"/>
      <c r="H76" s="355"/>
      <c r="I76" s="355"/>
      <c r="J76" s="355"/>
      <c r="K76" s="355"/>
      <c r="L76" s="355"/>
      <c r="M76" s="355"/>
    </row>
    <row r="77" spans="1:13" x14ac:dyDescent="0.2">
      <c r="A77" s="211"/>
      <c r="B77" s="211"/>
      <c r="C77" s="355"/>
      <c r="D77" s="355"/>
      <c r="E77" s="355"/>
      <c r="F77" s="355"/>
      <c r="G77" s="355"/>
      <c r="H77" s="355"/>
      <c r="I77" s="355"/>
      <c r="J77" s="355"/>
      <c r="K77" s="355"/>
      <c r="L77" s="355"/>
      <c r="M77" s="355"/>
    </row>
    <row r="78" spans="1:13" x14ac:dyDescent="0.2">
      <c r="A78" s="211"/>
      <c r="B78" s="211"/>
      <c r="C78" s="355"/>
      <c r="D78" s="355"/>
      <c r="E78" s="355"/>
      <c r="F78" s="355"/>
      <c r="G78" s="355"/>
      <c r="H78" s="355"/>
      <c r="I78" s="355"/>
      <c r="J78" s="355"/>
      <c r="K78" s="355"/>
      <c r="L78" s="355"/>
      <c r="M78" s="355"/>
    </row>
    <row r="79" spans="1:13" x14ac:dyDescent="0.2">
      <c r="A79" s="211"/>
      <c r="B79" s="211"/>
      <c r="C79" s="355"/>
      <c r="D79" s="355"/>
      <c r="E79" s="355"/>
      <c r="F79" s="355"/>
      <c r="G79" s="355"/>
      <c r="H79" s="355"/>
      <c r="I79" s="355"/>
      <c r="J79" s="355"/>
      <c r="K79" s="355"/>
      <c r="L79" s="355"/>
      <c r="M79" s="355"/>
    </row>
    <row r="80" spans="1:13" x14ac:dyDescent="0.2">
      <c r="A80" s="211"/>
      <c r="B80" s="211"/>
      <c r="C80" s="355"/>
      <c r="D80" s="355"/>
      <c r="E80" s="355"/>
      <c r="F80" s="355"/>
      <c r="G80" s="355"/>
      <c r="H80" s="355"/>
      <c r="I80" s="355"/>
      <c r="J80" s="355"/>
      <c r="K80" s="355"/>
      <c r="L80" s="355"/>
      <c r="M80" s="355"/>
    </row>
    <row r="81" spans="1:13" x14ac:dyDescent="0.2">
      <c r="A81" s="211"/>
      <c r="B81" s="211"/>
      <c r="C81" s="355"/>
      <c r="D81" s="355"/>
      <c r="E81" s="355"/>
      <c r="F81" s="355"/>
      <c r="G81" s="355"/>
      <c r="H81" s="355"/>
      <c r="I81" s="355"/>
      <c r="J81" s="355"/>
      <c r="K81" s="355"/>
      <c r="L81" s="355"/>
      <c r="M81" s="355"/>
    </row>
    <row r="82" spans="1:13" x14ac:dyDescent="0.2">
      <c r="A82" s="211"/>
      <c r="B82" s="211"/>
      <c r="C82" s="355"/>
      <c r="D82" s="355"/>
      <c r="E82" s="355"/>
      <c r="F82" s="355"/>
      <c r="G82" s="355"/>
      <c r="H82" s="355"/>
      <c r="I82" s="355"/>
      <c r="J82" s="355"/>
      <c r="K82" s="355"/>
      <c r="L82" s="355"/>
      <c r="M82" s="355"/>
    </row>
    <row r="83" spans="1:13" x14ac:dyDescent="0.2">
      <c r="A83" s="211"/>
      <c r="B83" s="211"/>
      <c r="C83" s="355"/>
      <c r="D83" s="355"/>
      <c r="E83" s="355"/>
      <c r="F83" s="355"/>
      <c r="G83" s="355"/>
      <c r="H83" s="355"/>
      <c r="I83" s="355"/>
      <c r="J83" s="355"/>
      <c r="K83" s="355"/>
      <c r="L83" s="355"/>
      <c r="M83" s="355"/>
    </row>
    <row r="84" spans="1:13" x14ac:dyDescent="0.2">
      <c r="A84" s="211"/>
      <c r="B84" s="211"/>
      <c r="C84" s="355"/>
      <c r="D84" s="355"/>
      <c r="E84" s="355"/>
      <c r="F84" s="355"/>
      <c r="G84" s="355"/>
      <c r="H84" s="355"/>
      <c r="I84" s="355"/>
      <c r="J84" s="355"/>
      <c r="K84" s="355"/>
      <c r="L84" s="355"/>
      <c r="M84" s="355"/>
    </row>
    <row r="85" spans="1:13" x14ac:dyDescent="0.2">
      <c r="A85" s="211"/>
      <c r="B85" s="211"/>
      <c r="C85" s="355"/>
      <c r="D85" s="355"/>
      <c r="E85" s="355"/>
      <c r="F85" s="355"/>
      <c r="G85" s="355"/>
      <c r="H85" s="355"/>
      <c r="I85" s="355"/>
      <c r="J85" s="355"/>
      <c r="K85" s="355"/>
      <c r="L85" s="355"/>
      <c r="M85" s="355"/>
    </row>
    <row r="86" spans="1:13" x14ac:dyDescent="0.2">
      <c r="A86" s="211"/>
      <c r="B86" s="211"/>
      <c r="C86" s="355"/>
      <c r="D86" s="355"/>
      <c r="E86" s="355"/>
      <c r="F86" s="355"/>
      <c r="G86" s="355"/>
      <c r="H86" s="355"/>
      <c r="I86" s="355"/>
      <c r="J86" s="355"/>
      <c r="K86" s="355"/>
      <c r="L86" s="355"/>
      <c r="M86" s="355"/>
    </row>
    <row r="87" spans="1:13" x14ac:dyDescent="0.2">
      <c r="A87" s="211"/>
      <c r="B87" s="211"/>
      <c r="C87" s="355"/>
      <c r="D87" s="355"/>
      <c r="E87" s="355"/>
      <c r="F87" s="355"/>
      <c r="G87" s="355"/>
      <c r="H87" s="355"/>
      <c r="I87" s="355"/>
      <c r="J87" s="355"/>
      <c r="K87" s="355"/>
      <c r="L87" s="355"/>
      <c r="M87" s="355"/>
    </row>
    <row r="88" spans="1:13" x14ac:dyDescent="0.2">
      <c r="A88" s="211"/>
      <c r="B88" s="211"/>
      <c r="C88" s="355"/>
      <c r="D88" s="355"/>
      <c r="E88" s="355"/>
      <c r="F88" s="355"/>
      <c r="G88" s="355"/>
      <c r="H88" s="355"/>
      <c r="I88" s="355"/>
      <c r="J88" s="355"/>
      <c r="K88" s="355"/>
      <c r="L88" s="355"/>
      <c r="M88" s="355"/>
    </row>
    <row r="89" spans="1:13" x14ac:dyDescent="0.2">
      <c r="A89" s="211"/>
      <c r="B89" s="211"/>
      <c r="C89" s="355"/>
      <c r="D89" s="355"/>
      <c r="E89" s="355"/>
      <c r="F89" s="355"/>
      <c r="G89" s="355"/>
      <c r="H89" s="355"/>
      <c r="I89" s="355"/>
      <c r="J89" s="355"/>
      <c r="K89" s="355"/>
      <c r="L89" s="355"/>
      <c r="M89" s="355"/>
    </row>
    <row r="90" spans="1:13" x14ac:dyDescent="0.2">
      <c r="A90" s="211"/>
      <c r="B90" s="211"/>
      <c r="C90" s="355"/>
      <c r="D90" s="355"/>
      <c r="E90" s="355"/>
      <c r="F90" s="355"/>
      <c r="G90" s="355"/>
      <c r="H90" s="355"/>
      <c r="I90" s="355"/>
      <c r="J90" s="355"/>
      <c r="K90" s="355"/>
      <c r="L90" s="355"/>
      <c r="M90" s="35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2020-10-05T12:25:05Z</cp:lastPrinted>
  <dcterms:created xsi:type="dcterms:W3CDTF">1997-12-04T19:04:30Z</dcterms:created>
  <dcterms:modified xsi:type="dcterms:W3CDTF">2020-12-11T20:03:35Z</dcterms:modified>
</cp:coreProperties>
</file>