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3" i="1" l="1"/>
  <c r="F500" i="1"/>
  <c r="F49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C5" i="14"/>
  <c r="B6" i="14"/>
  <c r="B7" i="14"/>
  <c r="B8" i="14"/>
  <c r="B9" i="14"/>
  <c r="B10" i="14"/>
  <c r="B11" i="14"/>
  <c r="B12" i="14"/>
  <c r="B13" i="14"/>
  <c r="B14" i="14"/>
  <c r="B15" i="14"/>
  <c r="B16" i="14"/>
  <c r="B17" i="14"/>
  <c r="B18" i="14"/>
  <c r="B19" i="14"/>
  <c r="B20" i="14"/>
  <c r="B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L201" i="1"/>
  <c r="L216" i="1"/>
  <c r="L217" i="1"/>
  <c r="L218" i="1"/>
  <c r="L219" i="1"/>
  <c r="L234" i="1"/>
  <c r="L235" i="1"/>
  <c r="C110" i="2" s="1"/>
  <c r="L236" i="1"/>
  <c r="L237" i="1"/>
  <c r="C112" i="2" s="1"/>
  <c r="G6" i="13"/>
  <c r="H6" i="13"/>
  <c r="L203" i="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C13" i="10" s="1"/>
  <c r="L320" i="1"/>
  <c r="L321" i="1"/>
  <c r="E119" i="2" s="1"/>
  <c r="L322" i="1"/>
  <c r="E120" i="2" s="1"/>
  <c r="L323" i="1"/>
  <c r="E121" i="2" s="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23"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F258" i="1" s="1"/>
  <c r="G248" i="1"/>
  <c r="H248" i="1"/>
  <c r="I248" i="1"/>
  <c r="J248" i="1"/>
  <c r="J258" i="1" s="1"/>
  <c r="K248" i="1"/>
  <c r="F257" i="1"/>
  <c r="G257" i="1"/>
  <c r="H257" i="1"/>
  <c r="I257" i="1"/>
  <c r="J257" i="1"/>
  <c r="K257" i="1"/>
  <c r="F291" i="1"/>
  <c r="G291" i="1"/>
  <c r="H291" i="1"/>
  <c r="I291" i="1"/>
  <c r="F310" i="1"/>
  <c r="G310" i="1"/>
  <c r="H310" i="1"/>
  <c r="I310" i="1"/>
  <c r="F329" i="1"/>
  <c r="G329" i="1"/>
  <c r="G339" i="1" s="1"/>
  <c r="G353" i="1" s="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J572" i="1"/>
  <c r="I170" i="1"/>
  <c r="J140" i="1"/>
  <c r="H140" i="1"/>
  <c r="A40" i="12" l="1"/>
  <c r="A31" i="12"/>
  <c r="G553" i="1"/>
  <c r="G477" i="1"/>
  <c r="H477" i="1"/>
  <c r="H625" i="1" s="1"/>
  <c r="L257" i="1"/>
  <c r="K339" i="1"/>
  <c r="K353" i="1" s="1"/>
  <c r="E112" i="2"/>
  <c r="C20" i="10"/>
  <c r="E13" i="13"/>
  <c r="C13" i="13" s="1"/>
  <c r="D6" i="13"/>
  <c r="C6" i="13" s="1"/>
  <c r="C11" i="10"/>
  <c r="F339" i="1"/>
  <c r="F353" i="1" s="1"/>
  <c r="J642" i="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D103" i="2"/>
  <c r="I140" i="1"/>
  <c r="A22" i="12"/>
  <c r="G50" i="2"/>
  <c r="J653" i="1"/>
  <c r="G572" i="1"/>
  <c r="I435" i="1"/>
  <c r="G435" i="1"/>
  <c r="I664" i="1"/>
  <c r="C141" i="2" l="1"/>
  <c r="C144" i="2" s="1"/>
  <c r="F194" i="1"/>
  <c r="C81" i="2"/>
  <c r="F51" i="2"/>
  <c r="E51" i="2"/>
  <c r="E128" i="2"/>
  <c r="E115" i="2"/>
  <c r="H649" i="1"/>
  <c r="G36" i="14"/>
  <c r="H36" i="14" s="1"/>
  <c r="I36" i="14" s="1"/>
  <c r="H661" i="1"/>
  <c r="H665" i="1" s="1"/>
  <c r="H668" i="1"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F673" i="1"/>
  <c r="C4" i="10" s="1"/>
  <c r="E145" i="2"/>
  <c r="H673" i="1"/>
  <c r="C6"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<sst xmlns="http://schemas.openxmlformats.org/spreadsheetml/2006/main" count="5544" uniqueCount="1645">
  <si>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</si>
  <si>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</si>
  <si>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</si>
  <si>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</si>
  <si>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</si>
  <si>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</si>
  <si>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</si>
  <si>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</si>
  <si>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</si>
  <si>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</si>
  <si>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</si>
  <si>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</si>
  <si>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</si>
  <si>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</si>
  <si>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</si>
  <si>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</si>
  <si>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</si>
  <si>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</si>
  <si>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</si>
  <si>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</si>
  <si>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</si>
  <si>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</si>
  <si>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</si>
  <si>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</si>
  <si>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</si>
  <si>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</si>
  <si>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</si>
  <si>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</si>
  <si>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</si>
  <si>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</si>
  <si>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</si>
  <si>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</si>
  <si>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</si>
  <si>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</si>
  <si>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</si>
  <si>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</si>
  <si>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</si>
  <si>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</si>
  <si>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</si>
  <si>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</si>
  <si>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</si>
  <si>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</si>
  <si>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</si>
  <si>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</si>
  <si>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</si>
  <si>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</si>
  <si>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</si>
  <si>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</si>
  <si>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</si>
  <si>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</si>
  <si>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</si>
  <si>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</si>
  <si>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</si>
  <si>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</si>
  <si>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</si>
  <si>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</si>
  <si>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</si>
  <si>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</si>
  <si>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</si>
  <si>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</si>
  <si>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</si>
  <si>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</si>
  <si>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</si>
  <si>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</si>
  <si>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</si>
  <si>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</si>
  <si>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</si>
  <si>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</si>
  <si>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</si>
  <si>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</si>
  <si>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</si>
  <si>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</si>
  <si>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</si>
  <si>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</si>
  <si>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</si>
  <si>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</si>
  <si>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</si>
  <si>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</si>
  <si>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</si>
  <si>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</si>
  <si>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</si>
  <si>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</si>
  <si>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</si>
  <si>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</si>
  <si>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</si>
  <si>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</si>
  <si>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</si>
  <si>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</si>
  <si>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</si>
  <si>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</si>
  <si>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</si>
  <si>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</si>
  <si>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</si>
  <si>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</si>
  <si>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</si>
  <si>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</si>
  <si>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</si>
  <si>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</si>
  <si>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</si>
  <si>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</si>
  <si>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</si>
  <si>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</si>
  <si>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</si>
  <si>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</si>
  <si>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</si>
  <si>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</si>
  <si>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</si>
  <si>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</si>
  <si>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</si>
  <si>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</si>
  <si>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</si>
  <si>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</si>
  <si>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</si>
  <si>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</si>
  <si>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</si>
  <si>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</si>
  <si>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</si>
  <si>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</si>
  <si>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</si>
  <si>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</si>
  <si>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</si>
  <si>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</si>
  <si>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</si>
  <si>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</si>
  <si>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</si>
  <si>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</si>
  <si>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</si>
  <si>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</si>
  <si>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</si>
  <si>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</si>
  <si>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</si>
  <si>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</si>
  <si>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</si>
  <si>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</si>
  <si>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</si>
  <si>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</si>
  <si>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</si>
  <si>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</si>
  <si>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</si>
  <si>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</si>
  <si>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</si>
  <si>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</si>
  <si>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</si>
  <si>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</si>
  <si>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</si>
  <si>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</si>
  <si>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</si>
  <si>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</si>
  <si>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</si>
  <si>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</si>
  <si>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</si>
  <si>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</si>
  <si>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</si>
  <si>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</si>
  <si>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</si>
  <si>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</si>
  <si>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</si>
  <si>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</si>
  <si>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</si>
  <si>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</si>
  <si>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</si>
  <si>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</si>
  <si>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</si>
  <si>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</si>
  <si>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</si>
  <si>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</si>
  <si>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</si>
  <si>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</si>
  <si>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</si>
  <si>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</si>
  <si>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</si>
  <si>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</si>
  <si>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</si>
  <si>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</si>
  <si>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</si>
  <si>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</si>
  <si>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</si>
  <si>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</si>
  <si>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</si>
  <si>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</si>
  <si>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</si>
  <si>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</si>
  <si>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</si>
  <si>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</si>
  <si>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</si>
  <si>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</si>
  <si>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</si>
  <si>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</si>
  <si>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</si>
  <si>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</si>
  <si>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</si>
  <si>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</si>
  <si>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</si>
  <si>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</si>
  <si>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</si>
  <si>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</si>
  <si>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</si>
  <si>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</si>
  <si>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</si>
  <si>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</si>
  <si>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</si>
  <si>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</si>
  <si>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</si>
  <si>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</si>
  <si>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</si>
  <si>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</si>
  <si>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</si>
  <si>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</si>
  <si>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</si>
  <si>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</si>
  <si>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</si>
  <si>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</si>
  <si>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</si>
  <si>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</si>
  <si>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</si>
  <si>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</si>
  <si>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</si>
  <si>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</si>
  <si>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</si>
  <si>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</si>
  <si>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</si>
  <si>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</si>
  <si>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</si>
  <si>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</si>
  <si>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</si>
  <si>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</si>
  <si>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</si>
  <si>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</si>
  <si>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</si>
  <si>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</si>
  <si>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</si>
  <si>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</si>
  <si>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</si>
  <si>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</si>
  <si>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</si>
  <si>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</si>
  <si>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</si>
  <si>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</si>
  <si>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</si>
  <si>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</si>
  <si>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</si>
  <si>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</si>
  <si>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</si>
  <si>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</si>
  <si>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</si>
  <si>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</si>
  <si>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</si>
  <si>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</si>
  <si>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</si>
  <si>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</si>
  <si>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</si>
  <si>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</si>
  <si>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</si>
  <si>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</si>
  <si>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</si>
  <si>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</si>
  <si>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</si>
  <si>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</si>
  <si>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</si>
  <si>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</si>
  <si>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</si>
  <si>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</si>
  <si>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</si>
  <si>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</si>
  <si>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</si>
  <si>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</si>
  <si>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</si>
  <si>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</si>
  <si>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</si>
  <si>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</si>
  <si>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</si>
  <si>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</si>
  <si>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</si>
  <si>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</si>
  <si>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</si>
  <si>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</si>
  <si>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</si>
  <si>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</si>
  <si>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</si>
  <si>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</si>
  <si>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</si>
  <si>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</si>
  <si>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</si>
  <si>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</si>
  <si>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</si>
  <si>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</si>
  <si>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</si>
  <si>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</si>
  <si>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</si>
  <si>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</si>
  <si>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</si>
  <si>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</si>
  <si>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</si>
  <si>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</si>
  <si>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</si>
  <si>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</si>
  <si>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</si>
  <si>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</si>
  <si>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</si>
  <si>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</si>
  <si>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</si>
  <si>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</si>
  <si>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</si>
  <si>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</si>
  <si>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</si>
  <si>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</si>
  <si>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</si>
  <si>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</si>
  <si>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</si>
  <si>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</si>
  <si>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</si>
  <si>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</si>
  <si>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</si>
  <si>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</si>
  <si>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</si>
  <si>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</si>
  <si>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</si>
  <si>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</si>
  <si>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</si>
  <si>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</si>
  <si>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</si>
  <si>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</si>
  <si>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</si>
  <si>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</si>
  <si>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</si>
  <si>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</si>
  <si>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</si>
  <si>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</si>
  <si>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</si>
  <si>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</si>
  <si>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</si>
  <si>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</si>
  <si>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</si>
  <si>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</si>
  <si>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</si>
  <si>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</si>
  <si>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</si>
  <si>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</si>
  <si>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</si>
  <si>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</si>
  <si>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</si>
  <si>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</si>
  <si>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</si>
  <si>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</si>
  <si>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</si>
  <si>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</si>
  <si>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</si>
  <si>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</si>
  <si>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</si>
  <si>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</si>
  <si>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</si>
  <si>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</si>
  <si>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</si>
  <si>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</si>
  <si>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</si>
  <si>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</si>
  <si>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</si>
  <si>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</si>
  <si>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</si>
  <si>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</si>
  <si>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</si>
  <si>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</si>
  <si>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</si>
  <si>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</si>
  <si>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</si>
  <si>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</si>
  <si>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</si>
  <si>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</si>
  <si>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</si>
  <si>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</si>
  <si>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</si>
  <si>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</si>
  <si>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</si>
  <si>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</si>
  <si>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</si>
  <si>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</si>
  <si>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</si>
  <si>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</si>
  <si>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</si>
  <si>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</si>
  <si>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</si>
  <si>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</si>
  <si>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</si>
  <si>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</si>
  <si>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</si>
  <si>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</si>
  <si>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</si>
  <si>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</si>
  <si>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</si>
  <si>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</si>
  <si>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</si>
  <si>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</si>
  <si>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</si>
  <si>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</si>
  <si>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</si>
  <si>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</si>
  <si>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</si>
  <si>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</si>
  <si>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</si>
  <si>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</si>
  <si>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</si>
  <si>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</si>
  <si>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</si>
  <si>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</si>
  <si>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</si>
  <si>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</si>
  <si>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</si>
  <si>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</si>
  <si>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</si>
  <si>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</si>
  <si>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</si>
  <si>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</si>
  <si>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</si>
  <si>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</si>
  <si>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</si>
  <si>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</si>
  <si>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</si>
  <si>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</si>
  <si>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</si>
  <si>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</si>
  <si>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</si>
  <si>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</si>
  <si>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</si>
  <si>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</si>
  <si>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</si>
  <si>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</si>
  <si>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</si>
  <si>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</si>
  <si>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</si>
  <si>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</si>
  <si>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</si>
  <si>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</si>
  <si>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</si>
  <si>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</si>
  <si>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</si>
  <si>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</si>
  <si>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</si>
  <si>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</si>
  <si>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</si>
  <si>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</si>
  <si>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</si>
  <si>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</si>
  <si>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</si>
  <si>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</si>
  <si>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</si>
  <si>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</si>
  <si>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</si>
  <si>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</si>
  <si>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</si>
  <si>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</si>
  <si>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</si>
  <si>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</si>
  <si>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</si>
  <si>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</si>
  <si>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</si>
  <si>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</si>
  <si>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</si>
  <si>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</si>
  <si>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</si>
  <si>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</si>
  <si>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</si>
  <si>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</si>
  <si>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</si>
  <si>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</si>
  <si>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</si>
  <si>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</si>
  <si>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</si>
  <si>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</si>
  <si>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</si>
  <si>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</si>
  <si>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</si>
  <si>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</si>
  <si>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</si>
  <si>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</si>
  <si>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</si>
  <si>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</si>
  <si>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</si>
  <si>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</si>
  <si>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</si>
  <si>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</si>
  <si>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</si>
  <si>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</si>
  <si>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</si>
  <si>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</si>
  <si>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</si>
  <si>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</si>
  <si>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</si>
  <si>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</si>
  <si>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</si>
  <si>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</si>
  <si>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</si>
  <si>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</si>
  <si>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</si>
  <si>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</si>
  <si>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</si>
  <si>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</si>
  <si>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</si>
  <si>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</si>
  <si>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</si>
  <si>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</si>
  <si>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</si>
  <si>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</si>
  <si>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</si>
  <si>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</si>
  <si>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</si>
  <si>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</si>
  <si>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</si>
  <si>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</si>
  <si>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</si>
  <si>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</si>
  <si>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</si>
  <si>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</si>
  <si>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</si>
  <si>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</si>
  <si>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</si>
  <si>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</si>
  <si>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</si>
  <si>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</si>
  <si>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</si>
  <si>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</si>
  <si>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</si>
  <si>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</si>
  <si>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</si>
  <si>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</si>
  <si>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</si>
  <si>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</si>
  <si>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</si>
  <si>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</si>
  <si>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</si>
  <si>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</si>
  <si>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</si>
  <si>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</si>
  <si>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</si>
  <si>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</si>
  <si>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</si>
  <si>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</si>
  <si>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</si>
  <si>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</si>
  <si>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</si>
  <si>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</si>
  <si>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</si>
  <si>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</si>
  <si>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</si>
  <si>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</si>
  <si>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</si>
  <si>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</si>
  <si>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</si>
  <si>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</si>
  <si>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</si>
  <si>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</si>
  <si>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</si>
  <si>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</si>
  <si>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</si>
  <si>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</si>
  <si>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</si>
  <si>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</si>
  <si>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</si>
  <si>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</si>
  <si>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</si>
  <si>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</si>
  <si>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</si>
  <si>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</si>
  <si>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</si>
  <si>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</si>
  <si>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</si>
  <si>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</si>
  <si>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</si>
  <si>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</si>
  <si>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</si>
  <si>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</si>
  <si>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</si>
  <si>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</si>
  <si>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</si>
  <si>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</si>
  <si>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</si>
  <si>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</si>
  <si>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</si>
  <si>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</si>
  <si>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</si>
  <si>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</si>
  <si>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</si>
  <si>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</si>
  <si>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</si>
  <si>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</si>
  <si>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</si>
  <si>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</si>
  <si>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</si>
  <si>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</si>
  <si>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</si>
  <si>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</si>
  <si>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</si>
  <si>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</si>
  <si>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</si>
  <si>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</si>
  <si>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</si>
  <si>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</si>
  <si>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</si>
  <si>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</si>
  <si>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</si>
  <si>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</si>
  <si>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</si>
  <si>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</si>
  <si>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</si>
  <si>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</si>
  <si>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</si>
  <si>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</si>
  <si>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</si>
  <si>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</si>
  <si>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</si>
  <si>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</si>
  <si>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</si>
  <si>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</si>
  <si>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</si>
  <si>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</si>
  <si>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</si>
  <si>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</si>
  <si>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</si>
  <si>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</si>
  <si>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</si>
  <si>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</si>
  <si>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</si>
  <si>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</si>
  <si>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</si>
  <si>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</si>
  <si>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</si>
  <si>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</si>
  <si>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</si>
  <si>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</si>
  <si>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</si>
  <si>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</si>
  <si>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</si>
  <si>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</si>
  <si>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</si>
  <si>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</si>
  <si>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</si>
  <si>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</si>
  <si>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</si>
  <si>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</si>
  <si>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</si>
  <si>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</si>
  <si>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</si>
  <si>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</si>
  <si>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</si>
  <si>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</si>
  <si>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</si>
  <si>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</si>
  <si>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</si>
  <si>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</si>
  <si>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</si>
  <si>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</si>
  <si>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</si>
  <si>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</si>
  <si>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</si>
  <si>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</si>
  <si>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</si>
  <si>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</si>
  <si>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</si>
  <si>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</si>
  <si>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</si>
  <si>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</si>
  <si>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</si>
  <si>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</si>
  <si>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</si>
  <si>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</si>
  <si>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</si>
  <si>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</si>
  <si>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</si>
  <si>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</si>
  <si>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</si>
  <si>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</si>
  <si>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</si>
  <si>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</si>
  <si>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</si>
  <si>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</si>
  <si>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</si>
  <si>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</si>
  <si>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</si>
  <si>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</si>
  <si>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</si>
  <si>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</si>
  <si>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</si>
  <si>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</si>
  <si>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</si>
  <si>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</si>
  <si>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</si>
  <si>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</si>
  <si>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</si>
  <si>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</si>
  <si>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</si>
  <si>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</si>
  <si>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</si>
  <si>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</si>
  <si>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</si>
  <si>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</si>
  <si>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</si>
  <si>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</si>
  <si>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</si>
  <si>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</si>
  <si>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</si>
  <si>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</si>
  <si>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</si>
  <si>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</si>
  <si>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</si>
  <si>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</si>
  <si>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</si>
  <si>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</si>
  <si>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</si>
  <si>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</si>
  <si>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</si>
  <si>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</si>
  <si>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</si>
  <si>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</si>
  <si>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</si>
  <si>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</si>
  <si>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</si>
  <si>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</si>
  <si>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</si>
  <si>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</si>
  <si>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</si>
  <si>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</si>
  <si>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</si>
  <si>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</si>
  <si>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</si>
  <si>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</si>
  <si>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</si>
  <si>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</si>
  <si>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</si>
  <si>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</si>
  <si>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</si>
  <si>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</si>
  <si>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</si>
  <si>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</si>
  <si>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</si>
  <si>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</si>
  <si>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</si>
  <si>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</si>
  <si>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</si>
  <si>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</si>
  <si>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</si>
  <si>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</si>
  <si>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</si>
  <si>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</si>
  <si>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</si>
  <si>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</si>
  <si>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</si>
  <si>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</si>
  <si>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</si>
  <si>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</si>
  <si>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</si>
  <si>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</si>
  <si>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</si>
  <si>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</si>
  <si>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</si>
  <si>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</si>
  <si>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</si>
  <si>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</si>
  <si>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</si>
  <si>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</si>
  <si>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</si>
  <si>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</si>
  <si>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</si>
  <si>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</si>
  <si>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</si>
  <si>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</si>
  <si>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</si>
  <si>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</si>
  <si>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</si>
  <si>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</si>
  <si>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</si>
  <si>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</si>
  <si>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</si>
  <si>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</si>
  <si>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</si>
  <si>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</si>
  <si>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</si>
  <si>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</si>
  <si>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</si>
  <si>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</si>
  <si>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</si>
  <si>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</si>
  <si>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</si>
  <si>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</si>
  <si>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</si>
  <si>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</si>
  <si>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</si>
  <si>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</si>
  <si>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</si>
  <si>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</si>
  <si>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</si>
  <si>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</si>
  <si>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</si>
  <si>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</si>
  <si>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</si>
  <si>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</si>
  <si>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</si>
  <si>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</si>
  <si>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</si>
  <si>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</si>
  <si>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</si>
  <si>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</si>
  <si>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</si>
  <si>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</si>
  <si>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</si>
  <si>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</si>
  <si>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</si>
  <si>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</si>
  <si>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</si>
  <si>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</si>
  <si>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</si>
  <si>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</si>
  <si>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</si>
  <si>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</si>
  <si>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</si>
  <si>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</si>
  <si>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</si>
  <si>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</si>
  <si>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</si>
  <si>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</si>
  <si>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</si>
  <si>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</si>
  <si>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</si>
  <si>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</si>
  <si>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</si>
  <si>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</si>
  <si>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</si>
  <si>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</si>
  <si>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</si>
  <si>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</si>
  <si>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</si>
  <si>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</si>
  <si>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</si>
  <si>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</si>
  <si>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</si>
  <si>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</si>
  <si>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</si>
  <si>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</si>
  <si>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</si>
  <si>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</si>
  <si>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</si>
  <si>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</si>
  <si>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</si>
  <si>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</si>
  <si>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</si>
  <si>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</si>
  <si>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</si>
  <si>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</si>
  <si>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</si>
  <si>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</si>
  <si>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</si>
  <si>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</si>
  <si>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</si>
  <si>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</si>
  <si>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</si>
  <si>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</si>
  <si>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</si>
  <si>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</si>
  <si>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</si>
  <si>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</si>
  <si>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</si>
  <si>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</si>
  <si>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</si>
  <si>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</si>
  <si>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</si>
  <si>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</si>
  <si>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</si>
  <si>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</si>
  <si>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</si>
  <si>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</si>
  <si>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</si>
  <si>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</si>
  <si>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</si>
  <si>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</si>
  <si>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</si>
  <si>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</si>
  <si>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</si>
  <si>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</si>
  <si>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</si>
  <si>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</si>
  <si>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</si>
  <si>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</si>
  <si>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</si>
  <si>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</si>
  <si>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</si>
  <si>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</si>
  <si>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</si>
  <si>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</si>
  <si>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</si>
  <si>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</si>
  <si>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</si>
  <si>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</si>
  <si>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</si>
  <si>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</si>
  <si>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</si>
  <si>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</si>
  <si>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</si>
  <si>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</si>
  <si>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</si>
  <si>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</si>
  <si>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</si>
  <si>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</si>
  <si>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</si>
  <si>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</si>
  <si>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</si>
  <si>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</si>
  <si>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</si>
  <si>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</si>
  <si>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</si>
  <si>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</si>
  <si>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</si>
  <si>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</si>
  <si>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</si>
  <si>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</si>
  <si>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</si>
  <si>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</si>
  <si>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</si>
  <si>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</si>
  <si>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</si>
  <si>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</si>
  <si>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</si>
  <si>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</si>
  <si>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</si>
  <si>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</si>
  <si>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</si>
  <si>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</si>
  <si>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</si>
  <si>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</si>
  <si>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</si>
  <si>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</si>
  <si>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</si>
  <si>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</si>
  <si>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</si>
  <si>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</si>
  <si>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</si>
  <si>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</si>
  <si>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</si>
  <si>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</si>
  <si>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</si>
  <si>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</si>
  <si>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</si>
  <si>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</si>
  <si>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</si>
  <si>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</si>
  <si>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</si>
  <si>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</si>
  <si>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</si>
  <si>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</si>
  <si>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</si>
  <si>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</si>
  <si>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</si>
  <si>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</si>
  <si>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</si>
  <si>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</si>
  <si>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</si>
  <si>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</si>
  <si>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</si>
  <si>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</si>
  <si>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</si>
  <si>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</si>
  <si>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</si>
  <si>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</si>
  <si>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</si>
  <si>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</si>
  <si>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</si>
  <si>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</si>
  <si>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</si>
  <si>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</si>
  <si>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</si>
  <si>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</si>
  <si>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</si>
  <si>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</si>
  <si>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</si>
  <si>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</si>
  <si>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</si>
  <si>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</si>
  <si>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</si>
  <si>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</si>
  <si>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</si>
  <si>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</si>
  <si>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</si>
  <si>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</si>
  <si>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</si>
  <si>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</si>
  <si>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</si>
  <si>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</si>
  <si>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</si>
  <si>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</si>
  <si>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</si>
  <si>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</si>
  <si>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</si>
  <si>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</si>
  <si>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</si>
  <si>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</si>
  <si>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</si>
  <si>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</si>
  <si>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</si>
  <si>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</si>
  <si>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</si>
  <si>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</si>
  <si>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</si>
  <si>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</si>
  <si>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</si>
  <si>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</si>
  <si>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</si>
  <si>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</si>
  <si>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</si>
  <si>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</si>
  <si>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</si>
  <si>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</si>
  <si>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</si>
  <si>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</si>
  <si>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</si>
  <si>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</si>
  <si>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</si>
  <si>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</si>
  <si>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</si>
  <si>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</si>
  <si>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</si>
  <si>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</si>
  <si>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</si>
  <si>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</si>
  <si>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</si>
  <si>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</si>
  <si>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</si>
  <si>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</si>
  <si>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</si>
  <si>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</si>
  <si>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</si>
  <si>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</si>
  <si>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</si>
  <si>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</si>
  <si>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</si>
  <si>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</si>
  <si>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</si>
  <si>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</si>
  <si>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</si>
  <si>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</si>
  <si>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</si>
  <si>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</si>
  <si>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</si>
  <si>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</si>
  <si>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</si>
  <si>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</si>
  <si>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</si>
  <si>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</si>
  <si>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</si>
  <si>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</si>
  <si>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</si>
  <si>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</si>
  <si>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</si>
  <si>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</si>
  <si>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</si>
  <si>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</si>
  <si>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</si>
  <si>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</si>
  <si>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</si>
  <si>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</si>
  <si>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</si>
  <si>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</si>
  <si>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</si>
  <si>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</si>
  <si>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</si>
  <si>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</si>
  <si>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</si>
  <si>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</si>
  <si>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</si>
  <si>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</si>
  <si>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</si>
  <si>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</si>
  <si>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</si>
  <si>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</si>
  <si>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</si>
  <si>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</si>
  <si>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</si>
  <si>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</si>
  <si>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</si>
  <si>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</si>
  <si>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</si>
  <si>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</si>
  <si>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</si>
  <si>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</si>
  <si>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</si>
  <si>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</si>
  <si>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</si>
  <si>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</si>
  <si>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</si>
  <si>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</si>
  <si>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</si>
  <si>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</si>
  <si>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</si>
  <si>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</si>
  <si>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</si>
  <si>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</si>
  <si>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</si>
  <si>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</si>
  <si>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</si>
  <si>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</si>
  <si>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</si>
  <si>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</si>
  <si>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</si>
  <si>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</si>
  <si>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</si>
  <si>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</si>
  <si>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</si>
  <si>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</si>
  <si>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</si>
  <si>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</si>
  <si>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</si>
  <si>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</si>
  <si>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</si>
  <si>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</si>
  <si>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</si>
  <si>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</si>
  <si>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</si>
  <si>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</si>
  <si>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</si>
  <si>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</si>
  <si>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</si>
  <si>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</si>
  <si>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</si>
  <si>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</si>
  <si>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</si>
  <si>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</si>
  <si>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</si>
  <si>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</si>
  <si>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</si>
  <si>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</si>
  <si>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</si>
  <si>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</si>
  <si>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</si>
  <si>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</si>
  <si>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</si>
  <si>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</si>
  <si>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</si>
  <si>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</si>
  <si>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</si>
  <si>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</si>
  <si>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</si>
  <si>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</si>
  <si>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</si>
  <si>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</si>
  <si>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</si>
  <si>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</si>
  <si>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</si>
  <si>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</si>
  <si>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</si>
  <si>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</si>
  <si>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</si>
  <si>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</si>
  <si>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</si>
  <si>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</si>
  <si>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</si>
  <si>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</si>
  <si>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</si>
  <si>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</si>
  <si>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</si>
  <si>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</si>
  <si>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</si>
  <si>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</si>
  <si>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</si>
  <si>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</si>
  <si>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</si>
  <si>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</si>
  <si>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</si>
  <si>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</si>
  <si>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</si>
  <si>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</si>
  <si>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</si>
  <si>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</si>
  <si>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</si>
  <si>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</si>
  <si>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</si>
  <si>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</si>
  <si>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</si>
  <si>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</si>
  <si>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</si>
  <si>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</si>
  <si>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</si>
  <si>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</si>
  <si>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</si>
  <si>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</si>
  <si>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</si>
  <si>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</si>
  <si>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</si>
  <si>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</si>
  <si>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</si>
  <si>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</si>
  <si>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</si>
  <si>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</si>
  <si>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</si>
  <si>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</si>
  <si>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</si>
  <si>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</si>
  <si>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</si>
  <si>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</si>
  <si>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</si>
  <si>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</si>
  <si>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</si>
  <si>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</si>
  <si>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</si>
  <si>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</si>
  <si>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</si>
  <si>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</si>
  <si>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</si>
  <si>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</si>
  <si>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</si>
  <si>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</si>
  <si>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</si>
  <si>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</si>
  <si>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</si>
  <si>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</si>
  <si>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</si>
  <si>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</si>
  <si>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</si>
  <si>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</si>
  <si>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</si>
  <si>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</si>
  <si>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</si>
  <si>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</si>
  <si>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</si>
  <si>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</si>
  <si>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</si>
  <si>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</si>
  <si>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</si>
  <si>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</si>
  <si>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</si>
  <si>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</si>
  <si>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</si>
  <si>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</si>
  <si>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</si>
  <si>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</si>
  <si>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</si>
  <si>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</si>
  <si>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</si>
  <si>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</si>
  <si>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</si>
  <si>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</si>
  <si>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</si>
  <si>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</si>
  <si>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</si>
  <si>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</si>
  <si>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</si>
  <si>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</si>
  <si>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</si>
  <si>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</si>
  <si>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</si>
  <si>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</si>
  <si>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</si>
  <si>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</si>
  <si>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</si>
  <si>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</si>
  <si>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</si>
  <si>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</si>
  <si>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</si>
  <si>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</si>
  <si>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</si>
  <si>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</si>
  <si>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</si>
  <si>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</si>
  <si>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</si>
  <si>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</si>
  <si>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</si>
  <si>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</si>
  <si>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</si>
  <si>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</si>
  <si>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</si>
  <si>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</si>
  <si>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</si>
  <si>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</si>
  <si>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</si>
  <si>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</si>
  <si>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</si>
  <si>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</si>
  <si>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</si>
  <si>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</si>
  <si>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</si>
  <si>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</si>
  <si>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</si>
  <si>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</si>
  <si>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</si>
  <si>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</si>
  <si>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</si>
  <si>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</si>
  <si>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</si>
  <si>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</si>
  <si>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</si>
  <si>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</si>
  <si>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</si>
  <si>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</si>
  <si>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</si>
  <si>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</si>
  <si>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</si>
  <si>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</si>
  <si>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</si>
  <si>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</si>
  <si>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</si>
  <si>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</si>
  <si>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</si>
  <si>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</si>
  <si>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</si>
  <si>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</si>
  <si>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</si>
  <si>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</si>
  <si>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</si>
  <si>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</si>
  <si>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</si>
  <si>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</si>
  <si>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</si>
  <si>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</si>
  <si>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</si>
  <si>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</si>
  <si>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</si>
  <si>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</si>
  <si>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</si>
  <si>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</si>
  <si>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</si>
  <si>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</si>
  <si>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</si>
  <si>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</si>
  <si>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</si>
  <si>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</si>
  <si>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</si>
  <si>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</si>
  <si>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</si>
  <si>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</si>
  <si>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</si>
  <si>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</si>
  <si>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</si>
  <si>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</si>
  <si>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</si>
  <si>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</si>
  <si>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</si>
  <si>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</si>
  <si>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</si>
  <si>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</si>
  <si>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</si>
  <si>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</si>
  <si>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</si>
  <si>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</si>
  <si>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</si>
  <si>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</si>
  <si>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</si>
  <si>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</si>
  <si>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</si>
  <si>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</si>
  <si>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</si>
  <si>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</si>
  <si>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</si>
  <si>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</si>
  <si>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</si>
  <si>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</si>
  <si>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</si>
  <si>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</si>
  <si>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</si>
  <si>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</si>
  <si>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</si>
  <si>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</si>
  <si>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</si>
  <si>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</si>
  <si>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</si>
  <si>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</si>
  <si>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</si>
  <si>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</si>
  <si>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</si>
  <si>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</si>
  <si>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</si>
  <si>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</si>
  <si>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</si>
  <si>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</si>
  <si>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</si>
  <si>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</si>
  <si>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</si>
  <si>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</si>
  <si>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</si>
  <si>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</si>
  <si>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</si>
  <si>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</si>
  <si>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</si>
  <si>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</si>
  <si>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</si>
  <si>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</si>
  <si>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</si>
  <si>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</si>
  <si>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</si>
  <si>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</si>
  <si>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</si>
  <si>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</si>
  <si>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</si>
  <si>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</si>
  <si>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</si>
  <si>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</si>
  <si>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</si>
  <si>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</si>
  <si>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</si>
  <si>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</si>
  <si>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</si>
  <si>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</si>
  <si>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</si>
  <si>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</si>
  <si>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</si>
  <si>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</si>
  <si>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</si>
  <si>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</si>
  <si>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</si>
  <si>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</si>
  <si>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</si>
  <si>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</si>
  <si>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</si>
  <si>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</si>
  <si>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</si>
  <si>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</si>
  <si>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</si>
  <si>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</si>
  <si>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</si>
  <si>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</si>
  <si>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</si>
  <si>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</si>
  <si>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</si>
  <si>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</si>
  <si>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</si>
  <si>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</si>
  <si>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</si>
  <si>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</si>
  <si>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</si>
  <si>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</si>
  <si>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</si>
  <si>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</si>
  <si>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</si>
  <si>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</si>
  <si>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</si>
  <si>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</si>
  <si>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</si>
  <si>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</si>
  <si>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</si>
  <si>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</si>
  <si>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</si>
  <si>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</si>
  <si>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</si>
  <si>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</si>
  <si>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</si>
  <si>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</si>
  <si>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</si>
  <si>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</si>
  <si>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</si>
  <si>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</si>
  <si>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</si>
  <si>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</si>
  <si>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</si>
  <si>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</si>
  <si>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</si>
  <si>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</si>
  <si>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</si>
  <si>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</si>
  <si>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</si>
  <si>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</si>
  <si>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</si>
  <si>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</si>
  <si>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</si>
  <si>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</si>
  <si>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</si>
  <si>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</si>
  <si>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</si>
  <si>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</si>
  <si>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</si>
  <si>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</si>
  <si>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</si>
  <si>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</si>
  <si>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</si>
  <si>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</si>
  <si>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</si>
  <si>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</si>
  <si>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</si>
  <si>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</si>
  <si>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</si>
  <si>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</si>
  <si>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</si>
  <si>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</si>
  <si>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</si>
  <si>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</si>
  <si>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</si>
  <si>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</si>
  <si>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</si>
  <si>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</si>
  <si>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</si>
  <si>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</si>
  <si>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</si>
  <si>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</si>
  <si>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</si>
  <si>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</si>
  <si>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</si>
  <si>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</si>
  <si>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</si>
  <si>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</si>
  <si>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</si>
  <si>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</si>
  <si>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</si>
  <si>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</si>
  <si>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</si>
  <si>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</si>
  <si>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</si>
  <si>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</si>
  <si>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</si>
  <si>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</si>
  <si>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</si>
  <si>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</si>
  <si>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</si>
  <si>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</si>
  <si>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</si>
  <si>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</si>
  <si>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</si>
  <si>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</si>
  <si>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</si>
  <si>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</si>
  <si>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</si>
  <si>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</si>
  <si>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</si>
  <si>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</si>
  <si>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</si>
  <si>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</si>
  <si>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</si>
  <si>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</si>
  <si>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</si>
  <si>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</si>
  <si>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</si>
  <si>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</si>
  <si>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</si>
  <si>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</si>
  <si>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</si>
  <si>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</si>
  <si>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</si>
  <si>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</si>
  <si>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</si>
  <si>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</si>
  <si>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</si>
  <si>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</si>
  <si>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</si>
  <si>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</si>
  <si>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</si>
  <si>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</si>
  <si>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</si>
  <si>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</si>
  <si>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</si>
  <si>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</si>
  <si>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</si>
  <si>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</si>
  <si>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</si>
  <si>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</si>
  <si>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</si>
  <si>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</si>
  <si>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</si>
  <si>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</si>
  <si>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</si>
  <si>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</si>
  <si>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</si>
  <si>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</si>
  <si>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</si>
  <si>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</si>
  <si>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</si>
  <si>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</si>
  <si>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</si>
  <si>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</si>
  <si>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</si>
  <si>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</si>
  <si>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</si>
  <si>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</si>
  <si>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</si>
  <si>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</si>
  <si>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</si>
  <si>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</si>
  <si>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</si>
  <si>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</si>
  <si>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</si>
  <si>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</si>
  <si>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</si>
  <si>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</si>
  <si>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</si>
  <si>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</si>
  <si>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</si>
  <si>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</si>
  <si>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</si>
  <si>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</si>
  <si>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</si>
  <si>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</si>
  <si>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</si>
  <si>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</si>
  <si>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</si>
  <si>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</si>
  <si>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</si>
  <si>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</si>
  <si>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</si>
  <si>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</si>
  <si>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</si>
  <si>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</si>
  <si>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</si>
  <si>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</si>
  <si>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</si>
  <si>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</si>
  <si>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</si>
  <si>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</si>
  <si>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</si>
  <si>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</si>
  <si>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</si>
  <si>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</si>
  <si>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</si>
  <si>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</si>
  <si>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</si>
  <si>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</si>
  <si>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</si>
  <si>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</si>
  <si>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</si>
  <si>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</si>
  <si>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</si>
  <si>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</si>
  <si>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</si>
  <si>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</si>
  <si>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</si>
  <si>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</si>
  <si>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</si>
  <si>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</si>
  <si>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</si>
  <si>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</si>
  <si>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</si>
  <si>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</si>
  <si>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</si>
  <si>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</si>
  <si>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</si>
  <si>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</si>
  <si>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</si>
  <si>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</si>
  <si>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</si>
  <si>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</si>
  <si>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</si>
  <si>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</si>
  <si>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</si>
  <si>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</si>
  <si>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</si>
  <si>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</si>
  <si>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</si>
  <si>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</si>
  <si>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</si>
  <si>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</si>
  <si>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</si>
  <si>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</si>
  <si>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Pemi-Baker School District</t>
  </si>
  <si>
    <t>1/09/2019</t>
  </si>
  <si>
    <t>2/15/2029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</si>
</sst>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5" zoomScaleNormal="115" workbookViewId="0">
      <pane xSplit="5" ySplit="3" topLeftCell="F641"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428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889248.8</v>
      </c>
      <c r="G9" s="18">
        <v>-40818.32</v>
      </c>
      <c r="H9" s="18">
        <v>-45364.19</v>
      </c>
      <c r="I9" s="18">
        <v>-64246</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3516.15</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278461.5</v>
      </c>
      <c r="G13" s="18"/>
      <c r="H13" s="18">
        <v>46559.13</v>
      </c>
      <c r="I13" s="18">
        <v>64246</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30310.3</v>
      </c>
      <c r="G14" s="18">
        <v>41685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65603.63</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1263624.23</v>
      </c>
      <c r="G19" s="41">
        <f>SUM(G9:G18)</f>
        <v>866.68000000000029</v>
      </c>
      <c r="H19" s="41">
        <f>SUM(H9:H18)</f>
        <v>1194.9399999999951</v>
      </c>
      <c r="I19" s="41">
        <f>SUM(I9:I18)</f>
        <v>0</v>
      </c>
      <c r="J19" s="41">
        <f>SUM(J9:J18)</f>
        <v>3516.15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181429.12</v>
      </c>
      <c r="G24" s="18"/>
      <c r="H24" s="18">
        <v>974.9</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220.04</v>
      </c>
      <c r="I30" s="18">
        <v>6286.22</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181429.12</v>
      </c>
      <c r="G32" s="41">
        <f>SUM(G22:G31)</f>
        <v>0</v>
      </c>
      <c r="H32" s="41">
        <f>SUM(H22:H31)</f>
        <v>1194.94</v>
      </c>
      <c r="I32" s="41">
        <f>SUM(I22:I31)</f>
        <v>6286.22</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292724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866.68</v>
      </c>
      <c r="H48" s="18"/>
      <c r="I48" s="18">
        <v>-6286.22</v>
      </c>
      <c r="J48" s="13">
        <f>SUM(I460)</f>
        <v>3516.15</v>
      </c>
      <c r="K48" s="24" t="s">
        <v>288</v>
      </c>
      <c r="L48" s="24" t="s">
        <v>288</v>
      </c>
      <c r="M48" s="8"/>
      <c r="N48" s="266"/>
    </row>
    <row r="49" spans="1:14" s="3" customFormat="1" ht="12.2" customHeight="1" x14ac:dyDescent="0.15">
      <c r="A49" s="1" t="s">
        <v>859</v>
      </c>
      <c r="B49" s="2" t="s">
        <v>289</v>
      </c>
      <c r="C49" s="6">
        <v>34</v>
      </c>
      <c r="D49" s="2"/>
      <c r="E49" s="6">
        <v>753</v>
      </c>
      <c r="F49" s="18">
        <v>160296.20000000001</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629174.91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1082195.1100000001</v>
      </c>
      <c r="G51" s="41">
        <f>SUM(G35:G50)</f>
        <v>866.68</v>
      </c>
      <c r="H51" s="41">
        <f>SUM(H35:H50)</f>
        <v>0</v>
      </c>
      <c r="I51" s="41">
        <f>SUM(I35:I50)</f>
        <v>-6286.22</v>
      </c>
      <c r="J51" s="41">
        <f>SUM(J35:J50)</f>
        <v>3516.15</v>
      </c>
      <c r="K51" s="45" t="s">
        <v>288</v>
      </c>
      <c r="L51" s="45" t="s">
        <v>288</v>
      </c>
      <c r="N51" s="264"/>
    </row>
    <row r="52" spans="1:14" s="3" customFormat="1" ht="12.2" customHeight="1" thickTop="1" x14ac:dyDescent="0.15">
      <c r="A52" s="38" t="s">
        <v>455</v>
      </c>
      <c r="B52" s="39" t="s">
        <v>289</v>
      </c>
      <c r="C52" s="6">
        <v>37</v>
      </c>
      <c r="D52" s="39" t="s">
        <v>653</v>
      </c>
      <c r="E52" s="39"/>
      <c r="F52" s="41">
        <f>F51+F32</f>
        <v>1263624.23</v>
      </c>
      <c r="G52" s="41">
        <f>G51+G32</f>
        <v>866.68</v>
      </c>
      <c r="H52" s="41">
        <f>H51+H32</f>
        <v>1194.94</v>
      </c>
      <c r="I52" s="41">
        <f>I51+I32</f>
        <v>0</v>
      </c>
      <c r="J52" s="41">
        <f>J51+J32</f>
        <v>3516.15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10106770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10106770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25203.05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188897.25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7106.75</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221207.05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3330.93</v>
      </c>
      <c r="G96" s="18"/>
      <c r="H96" s="18"/>
      <c r="I96" s="18"/>
      <c r="J96" s="18">
        <v>53.48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118023.35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30000</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68555.25</v>
      </c>
      <c r="G110" s="18">
        <v>345.05</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101886.18</v>
      </c>
      <c r="G111" s="41">
        <f>SUM(G96:G110)</f>
        <v>118368.40000000001</v>
      </c>
      <c r="H111" s="41">
        <f>SUM(H96:H110)</f>
        <v>0</v>
      </c>
      <c r="I111" s="41">
        <f>SUM(I96:I110)</f>
        <v>0</v>
      </c>
      <c r="J111" s="41">
        <f>SUM(J96:J110)</f>
        <v>53.48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10429863.23</v>
      </c>
      <c r="G112" s="41">
        <f>G60+G111</f>
        <v>118368.40000000001</v>
      </c>
      <c r="H112" s="41">
        <f>H60+H79+H94+H111</f>
        <v>0</v>
      </c>
      <c r="I112" s="41">
        <f>I60+I111</f>
        <v>0</v>
      </c>
      <c r="J112" s="41">
        <f>J60+J111</f>
        <v>53.48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2543265.25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1602205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4145470.25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67082.259999999995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34200.5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2705.26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119127.16</v>
      </c>
      <c r="G135" s="18"/>
      <c r="H135" s="18"/>
      <c r="I135" s="18">
        <v>296014.02</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220409.91999999998</v>
      </c>
      <c r="G136" s="41">
        <f>SUM(G123:G135)</f>
        <v>2705.26</v>
      </c>
      <c r="H136" s="41">
        <f>SUM(H123:H135)</f>
        <v>0</v>
      </c>
      <c r="I136" s="41">
        <f>SUM(I123:I135)</f>
        <v>296014.02</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4365880.17</v>
      </c>
      <c r="G140" s="41">
        <f>G121+SUM(G136:G137)</f>
        <v>2705.26</v>
      </c>
      <c r="H140" s="41">
        <f>H121+SUM(H136:H139)</f>
        <v>0</v>
      </c>
      <c r="I140" s="41">
        <f>I121+I136</f>
        <v>296014.02</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215228.34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41210.39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80880.23</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21447.85</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63124.65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70635.44</v>
      </c>
      <c r="G160" s="24" t="s">
        <v>288</v>
      </c>
      <c r="H160" s="18">
        <v>2439.85</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70635.44</v>
      </c>
      <c r="G163" s="41">
        <f>SUM(G150:G162)</f>
        <v>63124.65</v>
      </c>
      <c r="H163" s="41">
        <f>SUM(H150:H162)</f>
        <v>361206.65999999992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70635.44</v>
      </c>
      <c r="G170" s="41">
        <f>G147+G163+SUM(G164:G169)</f>
        <v>63124.65</v>
      </c>
      <c r="H170" s="41">
        <f>H147+H163+SUM(H164:H169)</f>
        <v>361206.65999999992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14866378.84</v>
      </c>
      <c r="G194" s="47">
        <f>G112+G140+G170+G193</f>
        <v>184198.31</v>
      </c>
      <c r="H194" s="47">
        <f>H112+H140+H170+H193</f>
        <v>361206.65999999992</v>
      </c>
      <c r="I194" s="47">
        <f>I112+I140+I170+I193</f>
        <v>296014.02</v>
      </c>
      <c r="J194" s="47">
        <f>J112+J140+J193</f>
        <v>53.48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3047222.33</v>
      </c>
      <c r="G234" s="18">
        <v>1759146.21</v>
      </c>
      <c r="H234" s="18">
        <v>107494.24</v>
      </c>
      <c r="I234" s="18">
        <v>78895.23</v>
      </c>
      <c r="J234" s="18">
        <v>204855.38</v>
      </c>
      <c r="K234" s="18">
        <v>574</v>
      </c>
      <c r="L234" s="19">
        <f>SUM(F234:K234)</f>
        <v>5198187.3900000006</v>
      </c>
      <c r="M234" s="8"/>
      <c r="N234" s="266"/>
    </row>
    <row r="235" spans="1:14" s="3" customFormat="1" ht="12.2" customHeight="1" x14ac:dyDescent="0.15">
      <c r="A235" s="1" t="s">
        <v>439</v>
      </c>
      <c r="B235" s="2" t="s">
        <v>350</v>
      </c>
      <c r="C235" s="2" t="s">
        <v>291</v>
      </c>
      <c r="D235" s="2" t="s">
        <v>431</v>
      </c>
      <c r="E235" s="6">
        <v>1200</v>
      </c>
      <c r="F235" s="18">
        <v>1065772.2</v>
      </c>
      <c r="G235" s="18">
        <v>650522.91</v>
      </c>
      <c r="H235" s="18">
        <v>343468.24</v>
      </c>
      <c r="I235" s="18">
        <v>19265.650000000001</v>
      </c>
      <c r="J235" s="18">
        <v>7625.88</v>
      </c>
      <c r="K235" s="18">
        <v>144</v>
      </c>
      <c r="L235" s="19">
        <f>SUM(F235:K235)</f>
        <v>2086798.8799999997</v>
      </c>
      <c r="M235" s="8"/>
      <c r="N235" s="266"/>
    </row>
    <row r="236" spans="1:14" s="3" customFormat="1" ht="12.2" customHeight="1" x14ac:dyDescent="0.15">
      <c r="A236" s="1" t="s">
        <v>440</v>
      </c>
      <c r="B236" s="2" t="s">
        <v>350</v>
      </c>
      <c r="C236" s="2" t="s">
        <v>292</v>
      </c>
      <c r="D236" s="2" t="s">
        <v>431</v>
      </c>
      <c r="E236" s="6">
        <v>1300</v>
      </c>
      <c r="F236" s="18">
        <v>471707.81</v>
      </c>
      <c r="G236" s="18">
        <v>205026.03</v>
      </c>
      <c r="H236" s="18">
        <v>5881.69</v>
      </c>
      <c r="I236" s="18">
        <v>22444.57</v>
      </c>
      <c r="J236" s="18">
        <v>3422.61</v>
      </c>
      <c r="K236" s="18">
        <v>856</v>
      </c>
      <c r="L236" s="19">
        <f>SUM(F236:K236)</f>
        <v>709338.70999999985</v>
      </c>
      <c r="M236" s="8"/>
      <c r="N236" s="266"/>
    </row>
    <row r="237" spans="1:14" s="3" customFormat="1" ht="12.2" customHeight="1" x14ac:dyDescent="0.15">
      <c r="A237" s="1" t="s">
        <v>441</v>
      </c>
      <c r="B237" s="2" t="s">
        <v>350</v>
      </c>
      <c r="C237" s="2" t="s">
        <v>293</v>
      </c>
      <c r="D237" s="2" t="s">
        <v>431</v>
      </c>
      <c r="E237" s="6">
        <v>1400</v>
      </c>
      <c r="F237" s="18">
        <v>210117.9</v>
      </c>
      <c r="G237" s="18">
        <v>43422.46</v>
      </c>
      <c r="H237" s="18">
        <v>77662.649999999994</v>
      </c>
      <c r="I237" s="18">
        <v>41995.61</v>
      </c>
      <c r="J237" s="18">
        <v>37951.35</v>
      </c>
      <c r="K237" s="18">
        <v>4825</v>
      </c>
      <c r="L237" s="19">
        <f>SUM(F237:K237)</f>
        <v>415974.97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561715.38</v>
      </c>
      <c r="G239" s="18">
        <v>266279.40000000002</v>
      </c>
      <c r="H239" s="18">
        <v>162025.01</v>
      </c>
      <c r="I239" s="18">
        <v>4282.42</v>
      </c>
      <c r="J239" s="18">
        <v>8696.06</v>
      </c>
      <c r="K239" s="18">
        <v>1752</v>
      </c>
      <c r="L239" s="19">
        <f t="shared" ref="L239:L245" si="4">SUM(F239:K239)</f>
        <v>1004750.2700000001</v>
      </c>
      <c r="M239" s="8"/>
      <c r="N239" s="266"/>
    </row>
    <row r="240" spans="1:14" s="3" customFormat="1" ht="12.2" customHeight="1" x14ac:dyDescent="0.15">
      <c r="A240" s="1" t="s">
        <v>443</v>
      </c>
      <c r="B240" s="2" t="s">
        <v>350</v>
      </c>
      <c r="C240" s="2" t="s">
        <v>295</v>
      </c>
      <c r="D240" s="2" t="s">
        <v>431</v>
      </c>
      <c r="E240" s="6">
        <v>2200</v>
      </c>
      <c r="F240" s="18">
        <v>83835.13</v>
      </c>
      <c r="G240" s="18">
        <v>127968.43</v>
      </c>
      <c r="H240" s="18">
        <v>6781.87</v>
      </c>
      <c r="I240" s="18">
        <v>27130.81</v>
      </c>
      <c r="J240" s="18">
        <v>1695.13</v>
      </c>
      <c r="K240" s="18"/>
      <c r="L240" s="19">
        <f t="shared" si="4"/>
        <v>247411.37</v>
      </c>
      <c r="M240" s="8"/>
      <c r="N240" s="266"/>
    </row>
    <row r="241" spans="1:14" s="3" customFormat="1" ht="12.2" customHeight="1" x14ac:dyDescent="0.15">
      <c r="A241" s="1" t="s">
        <v>444</v>
      </c>
      <c r="B241" s="2" t="s">
        <v>350</v>
      </c>
      <c r="C241" s="2" t="s">
        <v>296</v>
      </c>
      <c r="D241" s="2" t="s">
        <v>431</v>
      </c>
      <c r="E241" s="6">
        <v>2300</v>
      </c>
      <c r="F241" s="18">
        <v>257307.62</v>
      </c>
      <c r="G241" s="18">
        <v>141380.31</v>
      </c>
      <c r="H241" s="18">
        <v>483390.04</v>
      </c>
      <c r="I241" s="18">
        <v>1804.08</v>
      </c>
      <c r="J241" s="18"/>
      <c r="K241" s="18"/>
      <c r="L241" s="19">
        <f t="shared" si="4"/>
        <v>883882.04999999993</v>
      </c>
      <c r="M241" s="8"/>
      <c r="N241" s="266"/>
    </row>
    <row r="242" spans="1:14" s="3" customFormat="1" ht="12.2" customHeight="1" x14ac:dyDescent="0.15">
      <c r="A242" s="1" t="s">
        <v>445</v>
      </c>
      <c r="B242" s="2" t="s">
        <v>350</v>
      </c>
      <c r="C242" s="2" t="s">
        <v>297</v>
      </c>
      <c r="D242" s="2" t="s">
        <v>431</v>
      </c>
      <c r="E242" s="6">
        <v>2400</v>
      </c>
      <c r="F242" s="18">
        <v>355080.84</v>
      </c>
      <c r="G242" s="18">
        <v>196298.54</v>
      </c>
      <c r="H242" s="18">
        <v>15069.31</v>
      </c>
      <c r="I242" s="18">
        <v>4045.52</v>
      </c>
      <c r="J242" s="18">
        <v>2767.02</v>
      </c>
      <c r="K242" s="18">
        <v>22660.54</v>
      </c>
      <c r="L242" s="19">
        <f t="shared" si="4"/>
        <v>595921.77000000014</v>
      </c>
      <c r="M242" s="8"/>
      <c r="N242" s="266"/>
    </row>
    <row r="243" spans="1:14" s="3" customFormat="1" ht="12.2" customHeight="1" x14ac:dyDescent="0.15">
      <c r="A243" s="1" t="s">
        <v>446</v>
      </c>
      <c r="B243" s="2" t="s">
        <v>350</v>
      </c>
      <c r="C243" s="2" t="s">
        <v>298</v>
      </c>
      <c r="D243" s="2" t="s">
        <v>431</v>
      </c>
      <c r="E243" s="6">
        <v>2500</v>
      </c>
      <c r="F243" s="18"/>
      <c r="G243" s="18"/>
      <c r="H243" s="18">
        <v>3341.53</v>
      </c>
      <c r="I243" s="18"/>
      <c r="J243" s="18"/>
      <c r="K243" s="18"/>
      <c r="L243" s="19">
        <f t="shared" si="4"/>
        <v>3341.53</v>
      </c>
      <c r="M243" s="8"/>
      <c r="N243" s="266"/>
    </row>
    <row r="244" spans="1:14" s="3" customFormat="1" ht="12.2" customHeight="1" x14ac:dyDescent="0.15">
      <c r="A244" s="1" t="s">
        <v>447</v>
      </c>
      <c r="B244" s="2" t="s">
        <v>350</v>
      </c>
      <c r="C244" s="2" t="s">
        <v>299</v>
      </c>
      <c r="D244" s="2" t="s">
        <v>431</v>
      </c>
      <c r="E244" s="6">
        <v>2600</v>
      </c>
      <c r="F244" s="18">
        <v>486557.86</v>
      </c>
      <c r="G244" s="18">
        <v>188978.8</v>
      </c>
      <c r="H244" s="18">
        <v>446603.81</v>
      </c>
      <c r="I244" s="18">
        <v>287277.09000000003</v>
      </c>
      <c r="J244" s="18">
        <v>14931.06</v>
      </c>
      <c r="K244" s="18"/>
      <c r="L244" s="19">
        <f t="shared" si="4"/>
        <v>1424348.62</v>
      </c>
      <c r="M244" s="8"/>
      <c r="N244" s="266"/>
    </row>
    <row r="245" spans="1:14" s="3" customFormat="1" ht="12.2" customHeight="1" x14ac:dyDescent="0.15">
      <c r="A245" s="1" t="s">
        <v>448</v>
      </c>
      <c r="B245" s="2" t="s">
        <v>350</v>
      </c>
      <c r="C245" s="2" t="s">
        <v>300</v>
      </c>
      <c r="D245" s="2" t="s">
        <v>431</v>
      </c>
      <c r="E245" s="6">
        <v>2700</v>
      </c>
      <c r="F245" s="18"/>
      <c r="G245" s="18"/>
      <c r="H245" s="18">
        <v>606998.4</v>
      </c>
      <c r="I245" s="18"/>
      <c r="J245" s="18"/>
      <c r="K245" s="18"/>
      <c r="L245" s="19">
        <f t="shared" si="4"/>
        <v>606998.4</v>
      </c>
      <c r="M245" s="8"/>
      <c r="N245" s="266"/>
    </row>
    <row r="246" spans="1:14" s="3" customFormat="1" ht="12.2" customHeight="1" x14ac:dyDescent="0.15">
      <c r="A246" s="1" t="s">
        <v>449</v>
      </c>
      <c r="B246" s="2" t="s">
        <v>350</v>
      </c>
      <c r="C246" s="2" t="s">
        <v>343</v>
      </c>
      <c r="D246" s="2" t="s">
        <v>431</v>
      </c>
      <c r="E246" s="6">
        <v>2800</v>
      </c>
      <c r="F246" s="18"/>
      <c r="G246" s="18"/>
      <c r="H246" s="18">
        <v>56327.56</v>
      </c>
      <c r="I246" s="18"/>
      <c r="J246" s="18"/>
      <c r="K246" s="18"/>
      <c r="L246" s="19">
        <f>SUM(F246:K246)</f>
        <v>56327.56</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6539317.0700000003</v>
      </c>
      <c r="G248" s="41">
        <f t="shared" si="5"/>
        <v>3579023.09</v>
      </c>
      <c r="H248" s="41">
        <f t="shared" si="5"/>
        <v>2315044.35</v>
      </c>
      <c r="I248" s="41">
        <f t="shared" si="5"/>
        <v>487140.98</v>
      </c>
      <c r="J248" s="41">
        <f t="shared" si="5"/>
        <v>281944.49000000005</v>
      </c>
      <c r="K248" s="41">
        <f t="shared" si="5"/>
        <v>30811.54</v>
      </c>
      <c r="L248" s="41">
        <f t="shared" si="5"/>
        <v>13233281.52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910885.54</v>
      </c>
      <c r="I256" s="18"/>
      <c r="J256" s="18"/>
      <c r="K256" s="18"/>
      <c r="L256" s="19">
        <f t="shared" si="6"/>
        <v>910885.54</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910885.54</v>
      </c>
      <c r="I257" s="41">
        <f t="shared" si="7"/>
        <v>0</v>
      </c>
      <c r="J257" s="41">
        <f t="shared" si="7"/>
        <v>0</v>
      </c>
      <c r="K257" s="41">
        <f t="shared" si="7"/>
        <v>0</v>
      </c>
      <c r="L257" s="41">
        <f>SUM(F257:K257)</f>
        <v>910885.54</v>
      </c>
      <c r="M257" s="8"/>
      <c r="N257" s="266"/>
    </row>
    <row r="258" spans="1:14" s="3" customFormat="1" ht="12.2" customHeight="1" thickTop="1" x14ac:dyDescent="0.15">
      <c r="A258" s="38" t="s">
        <v>462</v>
      </c>
      <c r="B258" s="40">
        <v>10</v>
      </c>
      <c r="C258" s="40">
        <v>8</v>
      </c>
      <c r="D258" s="39" t="s">
        <v>431</v>
      </c>
      <c r="E258" s="40"/>
      <c r="F258" s="41">
        <f t="shared" ref="F258:L258" si="8">F212+F230+F248+F257</f>
        <v>6539317.0700000003</v>
      </c>
      <c r="G258" s="41">
        <f t="shared" si="8"/>
        <v>3579023.09</v>
      </c>
      <c r="H258" s="41">
        <f t="shared" si="8"/>
        <v>3225929.89</v>
      </c>
      <c r="I258" s="41">
        <f t="shared" si="8"/>
        <v>487140.98</v>
      </c>
      <c r="J258" s="41">
        <f t="shared" si="8"/>
        <v>281944.49000000005</v>
      </c>
      <c r="K258" s="41">
        <f t="shared" si="8"/>
        <v>30811.54</v>
      </c>
      <c r="L258" s="41">
        <f t="shared" si="8"/>
        <v>14144167.059999999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390282.14</v>
      </c>
      <c r="L261" s="19">
        <f>SUM(F261:K261)</f>
        <v>390282.14</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216483.85</v>
      </c>
      <c r="L262" s="19">
        <f>SUM(F262:K262)</f>
        <v>216483.85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606765.99</v>
      </c>
      <c r="L271" s="41">
        <f t="shared" si="9"/>
        <v>606765.99</v>
      </c>
      <c r="M271" s="8"/>
      <c r="N271" s="266"/>
    </row>
    <row r="272" spans="1:14" s="34" customFormat="1" ht="12.2" customHeight="1" thickTop="1" x14ac:dyDescent="0.2">
      <c r="A272" s="43" t="s">
        <v>464</v>
      </c>
      <c r="B272" s="40">
        <v>10</v>
      </c>
      <c r="C272" s="40">
        <v>18</v>
      </c>
      <c r="D272" s="39" t="s">
        <v>431</v>
      </c>
      <c r="E272" s="40"/>
      <c r="F272" s="42">
        <f t="shared" ref="F272:L272" si="11">F258+F271</f>
        <v>6539317.0700000003</v>
      </c>
      <c r="G272" s="42">
        <f t="shared" si="11"/>
        <v>3579023.09</v>
      </c>
      <c r="H272" s="42">
        <f t="shared" si="11"/>
        <v>3225929.89</v>
      </c>
      <c r="I272" s="42">
        <f t="shared" si="11"/>
        <v>487140.98</v>
      </c>
      <c r="J272" s="42">
        <f t="shared" si="11"/>
        <v>281944.49000000005</v>
      </c>
      <c r="K272" s="42">
        <f t="shared" si="11"/>
        <v>637577.53</v>
      </c>
      <c r="L272" s="42">
        <f t="shared" si="11"/>
        <v>14750933.049999999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75186</v>
      </c>
      <c r="G315" s="18">
        <v>39278.86</v>
      </c>
      <c r="H315" s="18">
        <v>8916.0400000000009</v>
      </c>
      <c r="I315" s="18">
        <v>9551.08</v>
      </c>
      <c r="J315" s="18">
        <v>3024.96</v>
      </c>
      <c r="K315" s="18"/>
      <c r="L315" s="19">
        <f>SUM(F315:K315)</f>
        <v>135956.93999999997</v>
      </c>
      <c r="M315" s="8"/>
      <c r="N315" s="266"/>
    </row>
    <row r="316" spans="1:14" s="3" customFormat="1" ht="12.2" customHeight="1" x14ac:dyDescent="0.15">
      <c r="A316" s="1" t="s">
        <v>439</v>
      </c>
      <c r="B316" s="2" t="s">
        <v>359</v>
      </c>
      <c r="C316" s="2" t="s">
        <v>291</v>
      </c>
      <c r="D316" s="2" t="s">
        <v>431</v>
      </c>
      <c r="E316" s="6">
        <v>1200</v>
      </c>
      <c r="F316" s="18"/>
      <c r="G316" s="18"/>
      <c r="H316" s="18">
        <v>4805</v>
      </c>
      <c r="I316" s="18"/>
      <c r="J316" s="18"/>
      <c r="K316" s="18"/>
      <c r="L316" s="19">
        <f>SUM(F316:K316)</f>
        <v>4805</v>
      </c>
      <c r="M316" s="8"/>
      <c r="N316" s="266"/>
    </row>
    <row r="317" spans="1:14" s="3" customFormat="1" ht="12.2" customHeight="1" x14ac:dyDescent="0.15">
      <c r="A317" s="1" t="s">
        <v>440</v>
      </c>
      <c r="B317" s="2" t="s">
        <v>359</v>
      </c>
      <c r="C317" s="2" t="s">
        <v>292</v>
      </c>
      <c r="D317" s="2" t="s">
        <v>431</v>
      </c>
      <c r="E317" s="6">
        <v>1300</v>
      </c>
      <c r="F317" s="18"/>
      <c r="G317" s="18"/>
      <c r="H317" s="18">
        <v>20215</v>
      </c>
      <c r="I317" s="18">
        <v>56441.83</v>
      </c>
      <c r="J317" s="18"/>
      <c r="K317" s="18">
        <v>4223.3999999999996</v>
      </c>
      <c r="L317" s="19">
        <f>SUM(F317:K317)</f>
        <v>80880.23</v>
      </c>
      <c r="M317" s="8"/>
      <c r="N317" s="266"/>
    </row>
    <row r="318" spans="1:14" s="3" customFormat="1" ht="12.2" customHeight="1" x14ac:dyDescent="0.15">
      <c r="A318" s="1" t="s">
        <v>441</v>
      </c>
      <c r="B318" s="2" t="s">
        <v>359</v>
      </c>
      <c r="C318" s="2" t="s">
        <v>293</v>
      </c>
      <c r="D318" s="2" t="s">
        <v>431</v>
      </c>
      <c r="E318" s="6">
        <v>1400</v>
      </c>
      <c r="F318" s="18">
        <v>30350</v>
      </c>
      <c r="G318" s="18">
        <v>5765.97</v>
      </c>
      <c r="H318" s="18">
        <v>175</v>
      </c>
      <c r="I318" s="18">
        <v>17993.28</v>
      </c>
      <c r="J318" s="18">
        <v>8751.2000000000007</v>
      </c>
      <c r="K318" s="18">
        <v>65</v>
      </c>
      <c r="L318" s="19">
        <f>SUM(F318:K318)</f>
        <v>63100.45</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15201.49</v>
      </c>
      <c r="G320" s="18">
        <v>7578.27</v>
      </c>
      <c r="H320" s="18"/>
      <c r="I320" s="18"/>
      <c r="J320" s="18"/>
      <c r="K320" s="18"/>
      <c r="L320" s="19">
        <f t="shared" ref="L320:L326" si="16">SUM(F320:K320)</f>
        <v>22779.760000000002</v>
      </c>
      <c r="M320" s="8"/>
      <c r="N320" s="266"/>
    </row>
    <row r="321" spans="1:14" s="3" customFormat="1" ht="12.2" customHeight="1" x14ac:dyDescent="0.15">
      <c r="A321" s="1" t="s">
        <v>443</v>
      </c>
      <c r="B321" s="2" t="s">
        <v>359</v>
      </c>
      <c r="C321" s="2" t="s">
        <v>295</v>
      </c>
      <c r="D321" s="2" t="s">
        <v>431</v>
      </c>
      <c r="E321" s="6">
        <v>2200</v>
      </c>
      <c r="F321" s="18"/>
      <c r="G321" s="18"/>
      <c r="H321" s="18">
        <v>15160</v>
      </c>
      <c r="I321" s="18"/>
      <c r="J321" s="18"/>
      <c r="K321" s="18"/>
      <c r="L321" s="19">
        <f t="shared" si="16"/>
        <v>15160</v>
      </c>
      <c r="M321" s="8"/>
      <c r="N321" s="266"/>
    </row>
    <row r="322" spans="1:14" s="3" customFormat="1" ht="12.2" customHeight="1" x14ac:dyDescent="0.15">
      <c r="A322" s="1" t="s">
        <v>444</v>
      </c>
      <c r="B322" s="2" t="s">
        <v>359</v>
      </c>
      <c r="C322" s="2" t="s">
        <v>296</v>
      </c>
      <c r="D322" s="2" t="s">
        <v>431</v>
      </c>
      <c r="E322" s="6">
        <v>2300</v>
      </c>
      <c r="F322" s="18">
        <v>14471.32</v>
      </c>
      <c r="G322" s="18"/>
      <c r="H322" s="18"/>
      <c r="I322" s="18"/>
      <c r="J322" s="18"/>
      <c r="K322" s="18">
        <v>3723.73</v>
      </c>
      <c r="L322" s="19">
        <f t="shared" si="16"/>
        <v>18195.05</v>
      </c>
      <c r="M322" s="8"/>
      <c r="N322" s="266"/>
    </row>
    <row r="323" spans="1:14" s="3" customFormat="1" ht="12.2" customHeight="1" x14ac:dyDescent="0.15">
      <c r="A323" s="1" t="s">
        <v>445</v>
      </c>
      <c r="B323" s="2" t="s">
        <v>359</v>
      </c>
      <c r="C323" s="2" t="s">
        <v>297</v>
      </c>
      <c r="D323" s="2" t="s">
        <v>431</v>
      </c>
      <c r="E323" s="6">
        <v>2400</v>
      </c>
      <c r="F323" s="18"/>
      <c r="G323" s="18"/>
      <c r="H323" s="18">
        <v>12345</v>
      </c>
      <c r="I323" s="18"/>
      <c r="J323" s="18"/>
      <c r="K323" s="18"/>
      <c r="L323" s="19">
        <f t="shared" si="16"/>
        <v>12345</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v>7984.23</v>
      </c>
      <c r="L324" s="19">
        <f t="shared" si="16"/>
        <v>7984.23</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135208.81</v>
      </c>
      <c r="G329" s="42">
        <f t="shared" si="17"/>
        <v>52623.100000000006</v>
      </c>
      <c r="H329" s="42">
        <f t="shared" si="17"/>
        <v>61616.04</v>
      </c>
      <c r="I329" s="42">
        <f t="shared" si="17"/>
        <v>83986.19</v>
      </c>
      <c r="J329" s="42">
        <f t="shared" si="17"/>
        <v>11776.16</v>
      </c>
      <c r="K329" s="42">
        <f t="shared" si="17"/>
        <v>15996.359999999999</v>
      </c>
      <c r="L329" s="41">
        <f t="shared" si="17"/>
        <v>361206.66</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135208.81</v>
      </c>
      <c r="G339" s="41">
        <f t="shared" si="20"/>
        <v>52623.100000000006</v>
      </c>
      <c r="H339" s="41">
        <f t="shared" si="20"/>
        <v>61616.04</v>
      </c>
      <c r="I339" s="41">
        <f t="shared" si="20"/>
        <v>83986.19</v>
      </c>
      <c r="J339" s="41">
        <f t="shared" si="20"/>
        <v>11776.16</v>
      </c>
      <c r="K339" s="41">
        <f t="shared" si="20"/>
        <v>15996.359999999999</v>
      </c>
      <c r="L339" s="41">
        <f t="shared" si="20"/>
        <v>361206.66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135208.81</v>
      </c>
      <c r="G353" s="41">
        <f>G339</f>
        <v>52623.100000000006</v>
      </c>
      <c r="H353" s="41">
        <f>H339</f>
        <v>61616.04</v>
      </c>
      <c r="I353" s="41">
        <f>I339</f>
        <v>83986.19</v>
      </c>
      <c r="J353" s="41">
        <f>J339</f>
        <v>11776.16</v>
      </c>
      <c r="K353" s="47">
        <f>K339+K352</f>
        <v>15996.359999999999</v>
      </c>
      <c r="L353" s="41">
        <f>L339+L352</f>
        <v>361206.66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v>195687</v>
      </c>
      <c r="I361" s="18"/>
      <c r="J361" s="18"/>
      <c r="K361" s="18"/>
      <c r="L361" s="19">
        <f>SUM(F361:K361)</f>
        <v>195687</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195687</v>
      </c>
      <c r="I363" s="47">
        <f t="shared" si="22"/>
        <v>0</v>
      </c>
      <c r="J363" s="47">
        <f t="shared" si="22"/>
        <v>0</v>
      </c>
      <c r="K363" s="47">
        <f t="shared" si="22"/>
        <v>0</v>
      </c>
      <c r="L363" s="47">
        <f t="shared" si="22"/>
        <v>195687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225687</v>
      </c>
      <c r="I380" s="18"/>
      <c r="J380" s="18"/>
      <c r="K380" s="18"/>
      <c r="L380" s="13">
        <f t="shared" si="23"/>
        <v>225687</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225687</v>
      </c>
      <c r="I383" s="41">
        <f t="shared" si="24"/>
        <v>0</v>
      </c>
      <c r="J383" s="47">
        <f t="shared" si="24"/>
        <v>0</v>
      </c>
      <c r="K383" s="47">
        <f t="shared" si="24"/>
        <v>0</v>
      </c>
      <c r="L383" s="47">
        <f t="shared" si="24"/>
        <v>225687</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26.1</v>
      </c>
      <c r="I390" s="18"/>
      <c r="J390" s="24" t="s">
        <v>288</v>
      </c>
      <c r="K390" s="24" t="s">
        <v>288</v>
      </c>
      <c r="L390" s="56">
        <f t="shared" si="25"/>
        <v>26.1</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26.1</v>
      </c>
      <c r="I394" s="65">
        <f>SUM(I388:I393)</f>
        <v>0</v>
      </c>
      <c r="J394" s="45" t="s">
        <v>288</v>
      </c>
      <c r="K394" s="45" t="s">
        <v>288</v>
      </c>
      <c r="L394" s="47">
        <f>SUM(L388:L393)</f>
        <v>26.1</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27.38</v>
      </c>
      <c r="I398" s="18"/>
      <c r="J398" s="24" t="s">
        <v>288</v>
      </c>
      <c r="K398" s="24" t="s">
        <v>288</v>
      </c>
      <c r="L398" s="56">
        <f t="shared" si="26"/>
        <v>27.38</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27.38</v>
      </c>
      <c r="I402" s="47">
        <f>SUM(I396:I401)</f>
        <v>0</v>
      </c>
      <c r="J402" s="45" t="s">
        <v>288</v>
      </c>
      <c r="K402" s="45" t="s">
        <v>288</v>
      </c>
      <c r="L402" s="47">
        <f>SUM(L396:L401)</f>
        <v>27.38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53.480000000000004</v>
      </c>
      <c r="I409" s="47">
        <f>I394+I402+I408</f>
        <v>0</v>
      </c>
      <c r="J409" s="24" t="s">
        <v>288</v>
      </c>
      <c r="K409" s="24" t="s">
        <v>288</v>
      </c>
      <c r="L409" s="47">
        <f>L394+L402+L408</f>
        <v>53.480000000000004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3516.15</v>
      </c>
      <c r="G441" s="18"/>
      <c r="H441" s="18"/>
      <c r="I441" s="56">
        <f t="shared" si="33"/>
        <v>3516.15</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3516.15</v>
      </c>
      <c r="G447" s="13">
        <f>SUM(G440:G446)</f>
        <v>0</v>
      </c>
      <c r="H447" s="13">
        <f>SUM(H440:H446)</f>
        <v>0</v>
      </c>
      <c r="I447" s="13">
        <f>SUM(I440:I446)</f>
        <v>3516.15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3516.15</v>
      </c>
      <c r="G460" s="18"/>
      <c r="H460" s="18"/>
      <c r="I460" s="56">
        <f t="shared" si="34"/>
        <v>3516.15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3516.15</v>
      </c>
      <c r="G461" s="83">
        <f>SUM(G455:G460)</f>
        <v>0</v>
      </c>
      <c r="H461" s="83">
        <f>SUM(H455:H460)</f>
        <v>0</v>
      </c>
      <c r="I461" s="83">
        <f>SUM(I455:I460)</f>
        <v>3516.15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3516.15</v>
      </c>
      <c r="G462" s="42">
        <f>G453+G461</f>
        <v>0</v>
      </c>
      <c r="H462" s="42">
        <f>H453+H461</f>
        <v>0</v>
      </c>
      <c r="I462" s="42">
        <f>I453+I461</f>
        <v>3516.15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966749.32</v>
      </c>
      <c r="G466" s="18">
        <v>12355.37</v>
      </c>
      <c r="H466" s="18"/>
      <c r="I466" s="18">
        <v>-76613.240000000005</v>
      </c>
      <c r="J466" s="18">
        <v>3462.67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14866378.84</v>
      </c>
      <c r="G469" s="18">
        <v>184198.31</v>
      </c>
      <c r="H469" s="18">
        <v>361206.66</v>
      </c>
      <c r="I469" s="18">
        <v>296014.02</v>
      </c>
      <c r="J469" s="18">
        <v>53.48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14866378.84</v>
      </c>
      <c r="G471" s="53">
        <f>SUM(G469:G470)</f>
        <v>184198.31</v>
      </c>
      <c r="H471" s="53">
        <f>SUM(H469:H470)</f>
        <v>361206.66</v>
      </c>
      <c r="I471" s="53">
        <f>SUM(I469:I470)</f>
        <v>296014.02</v>
      </c>
      <c r="J471" s="53">
        <f>SUM(J469:J470)</f>
        <v>53.48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14750933.050000001</v>
      </c>
      <c r="G473" s="18">
        <v>195687</v>
      </c>
      <c r="H473" s="18">
        <v>361206.66</v>
      </c>
      <c r="I473" s="18">
        <v>225687</v>
      </c>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14750933.050000001</v>
      </c>
      <c r="G475" s="53">
        <f>SUM(G473:G474)</f>
        <v>195687</v>
      </c>
      <c r="H475" s="53">
        <f>SUM(H473:H474)</f>
        <v>361206.66</v>
      </c>
      <c r="I475" s="53">
        <f>SUM(I473:I474)</f>
        <v>225687</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1082195.1099999994</v>
      </c>
      <c r="G477" s="53">
        <f>(G466+G471)- G475</f>
        <v>866.67999999999302</v>
      </c>
      <c r="H477" s="53">
        <f>(H466+H471)- H475</f>
        <v>0</v>
      </c>
      <c r="I477" s="53">
        <f>(I466+I471)- I475</f>
        <v>-6286.2199999999721</v>
      </c>
      <c r="J477" s="53">
        <f>(J466+J471)- J475</f>
        <v>3516.15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3205000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2.2200000000000002</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3205000</v>
      </c>
      <c r="G496" s="18"/>
      <c r="H496" s="18"/>
      <c r="I496" s="18"/>
      <c r="J496" s="18"/>
      <c r="K496" s="53">
        <f>SUM(F496:J496)</f>
        <v>3205000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289300</v>
      </c>
      <c r="G498" s="18"/>
      <c r="H498" s="18"/>
      <c r="I498" s="18"/>
      <c r="J498" s="18"/>
      <c r="K498" s="53">
        <f t="shared" si="35"/>
        <v>289300</v>
      </c>
      <c r="L498" s="24" t="s">
        <v>288</v>
      </c>
      <c r="N498" s="265"/>
    </row>
    <row r="499" spans="1:14" s="52" customFormat="1" ht="12.2" customHeight="1" x14ac:dyDescent="0.2">
      <c r="A499" s="200" t="s">
        <v>622</v>
      </c>
      <c r="B499" s="201">
        <v>20</v>
      </c>
      <c r="C499" s="202">
        <v>9</v>
      </c>
      <c r="D499" s="203" t="s">
        <v>432</v>
      </c>
      <c r="E499" s="202"/>
      <c r="F499" s="204">
        <f>3205000-289300</f>
        <v>2915700</v>
      </c>
      <c r="G499" s="204"/>
      <c r="H499" s="204"/>
      <c r="I499" s="204"/>
      <c r="J499" s="204"/>
      <c r="K499" s="205">
        <f t="shared" si="35"/>
        <v>2915700</v>
      </c>
      <c r="L499" s="206" t="s">
        <v>288</v>
      </c>
      <c r="N499" s="265"/>
    </row>
    <row r="500" spans="1:14" s="52" customFormat="1" ht="12.2" customHeight="1" thickBot="1" x14ac:dyDescent="0.25">
      <c r="A500" s="22" t="s">
        <v>623</v>
      </c>
      <c r="B500" s="75">
        <v>20</v>
      </c>
      <c r="C500" s="115">
        <v>10</v>
      </c>
      <c r="D500" s="2" t="s">
        <v>432</v>
      </c>
      <c r="E500" s="115"/>
      <c r="F500" s="18">
        <f>759868.77-71268.95-70485.78</f>
        <v>618114.04</v>
      </c>
      <c r="G500" s="18"/>
      <c r="H500" s="18"/>
      <c r="I500" s="18"/>
      <c r="J500" s="18"/>
      <c r="K500" s="53">
        <f t="shared" si="35"/>
        <v>618114.04</v>
      </c>
      <c r="L500" s="24" t="s">
        <v>288</v>
      </c>
      <c r="N500" s="265"/>
    </row>
    <row r="501" spans="1:14" s="52" customFormat="1" ht="12.2" customHeight="1" thickTop="1" x14ac:dyDescent="0.2">
      <c r="A501" s="139" t="s">
        <v>624</v>
      </c>
      <c r="B501" s="44">
        <v>20</v>
      </c>
      <c r="C501" s="195">
        <v>11</v>
      </c>
      <c r="D501" s="39" t="s">
        <v>432</v>
      </c>
      <c r="E501" s="195"/>
      <c r="F501" s="42">
        <f>SUM(F499:F500)</f>
        <v>3533814.04</v>
      </c>
      <c r="G501" s="42">
        <f>SUM(G499:G500)</f>
        <v>0</v>
      </c>
      <c r="H501" s="42">
        <f>SUM(H499:H500)</f>
        <v>0</v>
      </c>
      <c r="I501" s="42">
        <f>SUM(I499:I500)</f>
        <v>0</v>
      </c>
      <c r="J501" s="42">
        <f>SUM(J499:J500)</f>
        <v>0</v>
      </c>
      <c r="K501" s="42">
        <f t="shared" si="35"/>
        <v>3533814.04</v>
      </c>
      <c r="L501" s="45" t="s">
        <v>288</v>
      </c>
      <c r="N501" s="265"/>
    </row>
    <row r="502" spans="1:14" s="52" customFormat="1" ht="12.2" customHeight="1" x14ac:dyDescent="0.2">
      <c r="A502" s="200" t="s">
        <v>651</v>
      </c>
      <c r="B502" s="201">
        <v>20</v>
      </c>
      <c r="C502" s="202">
        <v>12</v>
      </c>
      <c r="D502" s="203" t="s">
        <v>432</v>
      </c>
      <c r="E502" s="202"/>
      <c r="F502" s="204">
        <v>285000</v>
      </c>
      <c r="G502" s="204"/>
      <c r="H502" s="204"/>
      <c r="I502" s="204"/>
      <c r="J502" s="204"/>
      <c r="K502" s="205">
        <f t="shared" si="35"/>
        <v>285000</v>
      </c>
      <c r="L502" s="206" t="s">
        <v>288</v>
      </c>
      <c r="N502" s="265"/>
    </row>
    <row r="503" spans="1:14" s="52" customFormat="1" ht="12.2" customHeight="1" thickBot="1" x14ac:dyDescent="0.25">
      <c r="A503" s="22" t="s">
        <v>625</v>
      </c>
      <c r="B503" s="75">
        <v>20</v>
      </c>
      <c r="C503" s="115">
        <v>13</v>
      </c>
      <c r="D503" s="2" t="s">
        <v>432</v>
      </c>
      <c r="E503" s="115"/>
      <c r="F503" s="18">
        <f>63108.63+63108.63</f>
        <v>126217.26</v>
      </c>
      <c r="G503" s="18"/>
      <c r="H503" s="18"/>
      <c r="I503" s="18"/>
      <c r="J503" s="18"/>
      <c r="K503" s="53">
        <f t="shared" si="35"/>
        <v>126217.26</v>
      </c>
      <c r="L503" s="24" t="s">
        <v>288</v>
      </c>
      <c r="N503" s="265"/>
    </row>
    <row r="504" spans="1:14" s="52" customFormat="1" ht="12.2" customHeight="1" thickTop="1" x14ac:dyDescent="0.2">
      <c r="A504" s="139" t="s">
        <v>626</v>
      </c>
      <c r="B504" s="44">
        <v>20</v>
      </c>
      <c r="C504" s="195">
        <v>14</v>
      </c>
      <c r="D504" s="39" t="s">
        <v>432</v>
      </c>
      <c r="E504" s="195"/>
      <c r="F504" s="42">
        <f>SUM(F502:F503)</f>
        <v>411217.26</v>
      </c>
      <c r="G504" s="42">
        <f>SUM(G502:G503)</f>
        <v>0</v>
      </c>
      <c r="H504" s="42">
        <f>SUM(H502:H503)</f>
        <v>0</v>
      </c>
      <c r="I504" s="42">
        <f>SUM(I502:I503)</f>
        <v>0</v>
      </c>
      <c r="J504" s="42">
        <f>SUM(J502:J503)</f>
        <v>0</v>
      </c>
      <c r="K504" s="42">
        <f t="shared" si="35"/>
        <v>411217.26</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v>1065772.2</v>
      </c>
      <c r="G524" s="18">
        <v>650522.91</v>
      </c>
      <c r="H524" s="18">
        <v>343468.24</v>
      </c>
      <c r="I524" s="18">
        <v>19265.650000000001</v>
      </c>
      <c r="J524" s="18">
        <v>7625.88</v>
      </c>
      <c r="K524" s="18">
        <v>144</v>
      </c>
      <c r="L524" s="88">
        <f>SUM(F524:K524)</f>
        <v>2086798.8799999997</v>
      </c>
      <c r="N524" s="265"/>
    </row>
    <row r="525" spans="1:14" s="52" customFormat="1" ht="12.2" customHeight="1" thickTop="1" x14ac:dyDescent="0.2">
      <c r="A525" s="139" t="s">
        <v>63</v>
      </c>
      <c r="B525" s="107">
        <v>21</v>
      </c>
      <c r="C525" s="195">
        <v>4</v>
      </c>
      <c r="D525" s="196" t="s">
        <v>432</v>
      </c>
      <c r="E525" s="195"/>
      <c r="F525" s="108">
        <f>SUM(F522:F524)</f>
        <v>1065772.2</v>
      </c>
      <c r="G525" s="108">
        <f t="shared" ref="G525:L525" si="36">SUM(G522:G524)</f>
        <v>650522.91</v>
      </c>
      <c r="H525" s="108">
        <f t="shared" si="36"/>
        <v>343468.24</v>
      </c>
      <c r="I525" s="108">
        <f t="shared" si="36"/>
        <v>19265.650000000001</v>
      </c>
      <c r="J525" s="108">
        <f t="shared" si="36"/>
        <v>7625.88</v>
      </c>
      <c r="K525" s="108">
        <f t="shared" si="36"/>
        <v>144</v>
      </c>
      <c r="L525" s="89">
        <f t="shared" si="36"/>
        <v>2086798.8799999997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v>153380.20000000001</v>
      </c>
      <c r="G529" s="18">
        <v>82177.179999999993</v>
      </c>
      <c r="H529" s="18">
        <v>76936.77</v>
      </c>
      <c r="I529" s="18">
        <v>619.09</v>
      </c>
      <c r="J529" s="18">
        <v>922.34</v>
      </c>
      <c r="K529" s="18">
        <v>640</v>
      </c>
      <c r="L529" s="88">
        <f>SUM(F529:K529)</f>
        <v>314675.58000000007</v>
      </c>
      <c r="M529" s="8"/>
      <c r="N529" s="266"/>
    </row>
    <row r="530" spans="1:14" s="3" customFormat="1" ht="12.2" customHeight="1" thickTop="1" x14ac:dyDescent="0.15">
      <c r="A530" s="139" t="s">
        <v>65</v>
      </c>
      <c r="B530" s="107">
        <v>21</v>
      </c>
      <c r="C530" s="107">
        <v>8</v>
      </c>
      <c r="D530" s="158" t="s">
        <v>432</v>
      </c>
      <c r="E530" s="107"/>
      <c r="F530" s="89">
        <f>SUM(F527:F529)</f>
        <v>153380.20000000001</v>
      </c>
      <c r="G530" s="89">
        <f t="shared" ref="G530:L530" si="37">SUM(G527:G529)</f>
        <v>82177.179999999993</v>
      </c>
      <c r="H530" s="89">
        <f t="shared" si="37"/>
        <v>76936.77</v>
      </c>
      <c r="I530" s="89">
        <f t="shared" si="37"/>
        <v>619.09</v>
      </c>
      <c r="J530" s="89">
        <f t="shared" si="37"/>
        <v>922.34</v>
      </c>
      <c r="K530" s="89">
        <f t="shared" si="37"/>
        <v>640</v>
      </c>
      <c r="L530" s="89">
        <f t="shared" si="37"/>
        <v>314675.58000000007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37498.160000000003</v>
      </c>
      <c r="G534" s="18">
        <v>17771.509999999998</v>
      </c>
      <c r="H534" s="18"/>
      <c r="I534" s="18"/>
      <c r="J534" s="18"/>
      <c r="K534" s="18"/>
      <c r="L534" s="88">
        <f>SUM(F534:K534)</f>
        <v>55269.67</v>
      </c>
      <c r="M534" s="8"/>
      <c r="N534" s="266"/>
    </row>
    <row r="535" spans="1:14" s="3" customFormat="1" ht="12.2" customHeight="1" thickTop="1" x14ac:dyDescent="0.15">
      <c r="A535" s="139" t="s">
        <v>67</v>
      </c>
      <c r="B535" s="107">
        <v>21</v>
      </c>
      <c r="C535" s="107">
        <v>12</v>
      </c>
      <c r="D535" s="158" t="s">
        <v>432</v>
      </c>
      <c r="E535" s="107"/>
      <c r="F535" s="89">
        <f>SUM(F532:F534)</f>
        <v>37498.160000000003</v>
      </c>
      <c r="G535" s="89">
        <f t="shared" ref="G535:L535" si="38">SUM(G532:G534)</f>
        <v>17771.509999999998</v>
      </c>
      <c r="H535" s="89">
        <f t="shared" si="38"/>
        <v>0</v>
      </c>
      <c r="I535" s="89">
        <f t="shared" si="38"/>
        <v>0</v>
      </c>
      <c r="J535" s="89">
        <f t="shared" si="38"/>
        <v>0</v>
      </c>
      <c r="K535" s="89">
        <f t="shared" si="38"/>
        <v>0</v>
      </c>
      <c r="L535" s="89">
        <f t="shared" si="38"/>
        <v>55269.67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131801.79999999999</v>
      </c>
      <c r="I544" s="18"/>
      <c r="J544" s="18"/>
      <c r="K544" s="18"/>
      <c r="L544" s="88">
        <f>SUM(F544:K544)</f>
        <v>131801.79999999999</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131801.79999999999</v>
      </c>
      <c r="I545" s="193">
        <f t="shared" si="40"/>
        <v>0</v>
      </c>
      <c r="J545" s="193">
        <f t="shared" si="40"/>
        <v>0</v>
      </c>
      <c r="K545" s="193">
        <f t="shared" si="40"/>
        <v>0</v>
      </c>
      <c r="L545" s="193">
        <f t="shared" si="40"/>
        <v>131801.79999999999</v>
      </c>
      <c r="M545" s="8"/>
      <c r="N545" s="266"/>
    </row>
    <row r="546" spans="1:14" s="3" customFormat="1" ht="12.2" customHeight="1" thickTop="1" x14ac:dyDescent="0.15">
      <c r="A546" s="98" t="s">
        <v>72</v>
      </c>
      <c r="B546" s="107">
        <v>21</v>
      </c>
      <c r="C546" s="107">
        <v>21</v>
      </c>
      <c r="D546" s="158" t="s">
        <v>432</v>
      </c>
      <c r="E546" s="107"/>
      <c r="F546" s="89">
        <f>F525+F530+F535+F540+F545</f>
        <v>1256650.5599999998</v>
      </c>
      <c r="G546" s="89">
        <f t="shared" ref="G546:L546" si="41">G525+G530+G535+G540+G545</f>
        <v>750471.60000000009</v>
      </c>
      <c r="H546" s="89">
        <f t="shared" si="41"/>
        <v>552206.81000000006</v>
      </c>
      <c r="I546" s="89">
        <f t="shared" si="41"/>
        <v>19884.740000000002</v>
      </c>
      <c r="J546" s="89">
        <f t="shared" si="41"/>
        <v>8548.2199999999993</v>
      </c>
      <c r="K546" s="89">
        <f t="shared" si="41"/>
        <v>784</v>
      </c>
      <c r="L546" s="89">
        <f t="shared" si="41"/>
        <v>2588545.9299999997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2086798.8799999997</v>
      </c>
      <c r="G552" s="87">
        <f>L529</f>
        <v>314675.58000000007</v>
      </c>
      <c r="H552" s="87">
        <f>L534</f>
        <v>55269.67</v>
      </c>
      <c r="I552" s="87">
        <f>L539</f>
        <v>0</v>
      </c>
      <c r="J552" s="87">
        <f>L544</f>
        <v>131801.79999999999</v>
      </c>
      <c r="K552" s="87">
        <f>SUM(F552:J552)</f>
        <v>2588545.9299999997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2086798.8799999997</v>
      </c>
      <c r="G553" s="89">
        <f t="shared" si="42"/>
        <v>314675.58000000007</v>
      </c>
      <c r="H553" s="89">
        <f t="shared" si="42"/>
        <v>55269.67</v>
      </c>
      <c r="I553" s="89">
        <f t="shared" si="42"/>
        <v>0</v>
      </c>
      <c r="J553" s="89">
        <f t="shared" si="42"/>
        <v>131801.79999999999</v>
      </c>
      <c r="K553" s="89">
        <f t="shared" si="42"/>
        <v>2588545.9299999997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142461.1</v>
      </c>
      <c r="I580" s="87">
        <f t="shared" si="47"/>
        <v>142461.1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v>369916.85</v>
      </c>
      <c r="K592" s="104">
        <f t="shared" ref="K592:K598" si="48">SUM(H592:J592)</f>
        <v>369916.85</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v>131861.79999999999</v>
      </c>
      <c r="K593" s="104">
        <f t="shared" si="48"/>
        <v>131861.79999999999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v>101224.75</v>
      </c>
      <c r="K595" s="104">
        <f t="shared" si="48"/>
        <v>101224.75</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v>3545</v>
      </c>
      <c r="K596" s="104">
        <f t="shared" si="48"/>
        <v>3545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v>450</v>
      </c>
      <c r="K598" s="104">
        <f t="shared" si="48"/>
        <v>450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606998.39999999991</v>
      </c>
      <c r="K599" s="108">
        <f>SUM(K592:K598)</f>
        <v>606998.39999999991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v>293720.65000000002</v>
      </c>
      <c r="K605" s="104">
        <f>SUM(H605:J605)</f>
        <v>293720.65000000002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293720.65000000002</v>
      </c>
      <c r="K606" s="108">
        <f>SUM(K603:K605)</f>
        <v>293720.65000000002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v>28850</v>
      </c>
      <c r="G614" s="18">
        <v>5765.97</v>
      </c>
      <c r="H614" s="18"/>
      <c r="I614" s="18">
        <v>16953.490000000002</v>
      </c>
      <c r="J614" s="18">
        <v>7011.26</v>
      </c>
      <c r="K614" s="18"/>
      <c r="L614" s="88">
        <f>SUM(F614:K614)</f>
        <v>58580.720000000008</v>
      </c>
      <c r="M614" s="8"/>
      <c r="N614" s="266"/>
    </row>
    <row r="615" spans="1:14" s="3" customFormat="1" ht="12.2" customHeight="1" thickTop="1" x14ac:dyDescent="0.15">
      <c r="A615" s="98" t="s">
        <v>340</v>
      </c>
      <c r="B615" s="107">
        <v>23</v>
      </c>
      <c r="C615" s="107">
        <v>16</v>
      </c>
      <c r="D615" s="39" t="s">
        <v>432</v>
      </c>
      <c r="E615" s="107"/>
      <c r="F615" s="108">
        <f t="shared" ref="F615:L615" si="49">SUM(F612:F614)</f>
        <v>28850</v>
      </c>
      <c r="G615" s="108">
        <f t="shared" si="49"/>
        <v>5765.97</v>
      </c>
      <c r="H615" s="108">
        <f t="shared" si="49"/>
        <v>0</v>
      </c>
      <c r="I615" s="108">
        <f t="shared" si="49"/>
        <v>16953.490000000002</v>
      </c>
      <c r="J615" s="108">
        <f t="shared" si="49"/>
        <v>7011.26</v>
      </c>
      <c r="K615" s="108">
        <f t="shared" si="49"/>
        <v>0</v>
      </c>
      <c r="L615" s="89">
        <f t="shared" si="49"/>
        <v>58580.720000000008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1263624.23</v>
      </c>
      <c r="H618" s="109">
        <f>SUM(F52)</f>
        <v>1263624.23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866.68000000000029</v>
      </c>
      <c r="H619" s="109">
        <f>SUM(G52)</f>
        <v>866.68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1194.9399999999951</v>
      </c>
      <c r="H620" s="109">
        <f>SUM(H52)</f>
        <v>1194.94</v>
      </c>
      <c r="I620" s="121" t="s">
        <v>877</v>
      </c>
      <c r="J620" s="109">
        <f>G620-H620</f>
        <v>-5.0022208597511053E-12</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3516.15</v>
      </c>
      <c r="H622" s="109">
        <f>SUM(J52)</f>
        <v>3516.15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1082195.1100000001</v>
      </c>
      <c r="H623" s="109">
        <f>F477</f>
        <v>1082195.1099999994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866.68</v>
      </c>
      <c r="H624" s="109">
        <f>G477</f>
        <v>866.67999999999302</v>
      </c>
      <c r="I624" s="121" t="s">
        <v>102</v>
      </c>
      <c r="J624" s="109">
        <f t="shared" si="50"/>
        <v>6.9348971010185778E-12</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-6286.22</v>
      </c>
      <c r="H626" s="109">
        <f>I477</f>
        <v>-6286.2199999999721</v>
      </c>
      <c r="I626" s="121" t="s">
        <v>104</v>
      </c>
      <c r="J626" s="109">
        <f t="shared" si="50"/>
        <v>-2.8194335754960775E-11</v>
      </c>
      <c r="K626" s="109"/>
      <c r="L626" s="109"/>
      <c r="M626" s="8"/>
    </row>
    <row r="627" spans="1:13" s="3" customFormat="1" ht="12.2" customHeight="1" x14ac:dyDescent="0.15">
      <c r="A627" s="22"/>
      <c r="B627" s="105"/>
      <c r="C627" s="105"/>
      <c r="D627" s="105"/>
      <c r="E627" s="105"/>
      <c r="F627" s="120" t="s">
        <v>869</v>
      </c>
      <c r="G627" s="109">
        <f>J51</f>
        <v>3516.15</v>
      </c>
      <c r="H627" s="109">
        <f>J477</f>
        <v>3516.15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14866378.84</v>
      </c>
      <c r="H628" s="104">
        <f>SUM(F469)</f>
        <v>14866378.84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184198.31</v>
      </c>
      <c r="H629" s="104">
        <f>SUM(G469)</f>
        <v>184198.31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361206.65999999992</v>
      </c>
      <c r="H630" s="104">
        <f>SUM(H469)</f>
        <v>361206.66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296014.02</v>
      </c>
      <c r="H631" s="104">
        <f>SUM(I469)</f>
        <v>296014.02</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53.48</v>
      </c>
      <c r="H632" s="104">
        <f>SUM(J469)</f>
        <v>53.48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14750933.049999999</v>
      </c>
      <c r="H633" s="104">
        <f>SUM(F473)</f>
        <v>14750933.050000001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361206.66</v>
      </c>
      <c r="H634" s="104">
        <f>SUM(H473)</f>
        <v>361206.66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195687</v>
      </c>
      <c r="H636" s="104">
        <f>SUM(G473)</f>
        <v>195687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225687</v>
      </c>
      <c r="H637" s="104">
        <f>SUM(I473)</f>
        <v>225687</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53.480000000000004</v>
      </c>
      <c r="H638" s="164">
        <f>SUM(J469)</f>
        <v>53.48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3516.15</v>
      </c>
      <c r="H640" s="104">
        <f>SUM(F462)</f>
        <v>3516.15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3516.15</v>
      </c>
      <c r="H643" s="104">
        <f>SUM(I462)</f>
        <v>3516.15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53.48</v>
      </c>
      <c r="H645" s="104">
        <f>H409</f>
        <v>53.480000000000004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53.48</v>
      </c>
      <c r="H647" s="104">
        <f>L409</f>
        <v>53.480000000000004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606998.39999999991</v>
      </c>
      <c r="H648" s="104">
        <f>L209+L227+L245</f>
        <v>606998.4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293720.65000000002</v>
      </c>
      <c r="H649" s="104">
        <f>(J258+J339)-(J256+J337)</f>
        <v>293720.65000000002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606998.4</v>
      </c>
      <c r="H652" s="104">
        <f>J599</f>
        <v>606998.39999999991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13790175.18</v>
      </c>
      <c r="I661" s="19">
        <f>SUM(F661:H661)</f>
        <v>13790175.18</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118368.40000000001</v>
      </c>
      <c r="I662" s="19">
        <f>SUM(F662:H662)</f>
        <v>118368.40000000001</v>
      </c>
      <c r="J662"/>
      <c r="K662" s="13"/>
      <c r="L662" s="13"/>
      <c r="M662" s="8"/>
    </row>
    <row r="663" spans="1:13" s="3" customFormat="1" ht="12.2" customHeight="1" x14ac:dyDescent="0.2">
      <c r="A663" s="1" t="s">
        <v>128</v>
      </c>
      <c r="F663" s="19">
        <f>(L209+L288)-(J209+J288)</f>
        <v>0</v>
      </c>
      <c r="G663" s="19">
        <f>(L227+L307)-(J227+J307)</f>
        <v>0</v>
      </c>
      <c r="H663" s="19">
        <f>(L245+L326)-(J245+J326)</f>
        <v>606998.4</v>
      </c>
      <c r="I663" s="19">
        <f>SUM(F663:H663)</f>
        <v>606998.4</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0</v>
      </c>
      <c r="H664" s="199">
        <f>SUM(H576:H588)+SUM(J603:J605)+L614</f>
        <v>494762.47000000003</v>
      </c>
      <c r="I664" s="19">
        <f>SUM(F664:H664)</f>
        <v>494762.47000000003</v>
      </c>
      <c r="J664" s="13"/>
      <c r="K664" s="13"/>
      <c r="L664" s="13"/>
      <c r="M664" s="9"/>
    </row>
    <row r="665" spans="1:13" s="3" customFormat="1" ht="12.2" customHeight="1" x14ac:dyDescent="0.15">
      <c r="A665" s="1" t="s">
        <v>130</v>
      </c>
      <c r="F665" s="19">
        <f>F661-SUM(F662:F664)</f>
        <v>0</v>
      </c>
      <c r="G665" s="19">
        <f>G661-SUM(G662:G664)</f>
        <v>0</v>
      </c>
      <c r="H665" s="19">
        <f>H661-SUM(H662:H664)</f>
        <v>12570045.91</v>
      </c>
      <c r="I665" s="19">
        <f>I661-SUM(I662:I664)</f>
        <v>12570045.91</v>
      </c>
      <c r="J665" s="13"/>
      <c r="K665" s="13"/>
      <c r="L665" s="13"/>
      <c r="M665" s="8"/>
    </row>
    <row r="666" spans="1:13" s="3" customFormat="1" ht="12.2" customHeight="1" x14ac:dyDescent="0.2">
      <c r="A666" s="1" t="s">
        <v>131</v>
      </c>
      <c r="F666" s="246"/>
      <c r="G666" s="247"/>
      <c r="H666" s="247">
        <v>620.41</v>
      </c>
      <c r="I666" s="19">
        <f>SUM(F666:H666)</f>
        <v>620.41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f>ROUND(H665/H666,2)</f>
        <v>20260.87</v>
      </c>
      <c r="I668" s="19">
        <f>ROUND(I665/I666,2)</f>
        <v>20260.87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1.39</v>
      </c>
      <c r="I671" s="19">
        <f>SUM(F671:H671)</f>
        <v>1.39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f>ROUND((H665+H670)/(H666+H671),2)</f>
        <v>20215.580000000002</v>
      </c>
      <c r="I673" s="19">
        <f>ROUND((I665+I670)/(I666+I671),2)</f>
        <v>20215.580000000002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horizontalDpi="300" verticalDpi="300"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Pemi-Baker School District</v>
      </c>
      <c r="C5" s="344"/>
      <c r="D5" s="344"/>
      <c r="E5" s="344"/>
      <c r="F5" s="344"/>
    </row>
    <row r="8" spans="1:9" ht="18" x14ac:dyDescent="0.25">
      <c r="A8" s="323" t="s">
        <v>1591</v>
      </c>
      <c r="F8" s="330" t="s">
        <v>1609</v>
      </c>
    </row>
    <row r="9" spans="1:9" ht="15" x14ac:dyDescent="0.2">
      <c r="A9" s="321" t="s">
        <v>1592</v>
      </c>
      <c r="B9" s="324">
        <f>'DOE25'!G97</f>
        <v>118023.35</v>
      </c>
      <c r="F9" s="321" t="s">
        <v>1605</v>
      </c>
    </row>
    <row r="10" spans="1:9" ht="15" x14ac:dyDescent="0.2">
      <c r="A10" s="321" t="s">
        <v>1593</v>
      </c>
      <c r="B10" s="324">
        <f>'DOE25'!G112-'DOE25'!G97</f>
        <v>345.05000000000291</v>
      </c>
      <c r="F10" s="321" t="s">
        <v>1606</v>
      </c>
    </row>
    <row r="11" spans="1:9" ht="15" x14ac:dyDescent="0.2">
      <c r="A11" s="321" t="s">
        <v>1594</v>
      </c>
      <c r="B11" s="324">
        <f>'DOE25'!G140</f>
        <v>2705.26</v>
      </c>
      <c r="F11" s="321" t="s">
        <v>1607</v>
      </c>
    </row>
    <row r="12" spans="1:9" ht="15" x14ac:dyDescent="0.2">
      <c r="A12" s="321" t="s">
        <v>1595</v>
      </c>
      <c r="B12" s="324">
        <f>'DOE25'!G170</f>
        <v>63124.65</v>
      </c>
      <c r="F12" s="321" t="s">
        <v>1608</v>
      </c>
    </row>
    <row r="13" spans="1:9" ht="15" x14ac:dyDescent="0.2">
      <c r="A13" s="321" t="s">
        <v>1596</v>
      </c>
      <c r="B13" s="324">
        <f>'DOE25'!G193-'DOE25'!G180</f>
        <v>0</v>
      </c>
      <c r="F13" s="321" t="s">
        <v>1618</v>
      </c>
    </row>
    <row r="14" spans="1:9" ht="18" x14ac:dyDescent="0.25">
      <c r="A14" s="323" t="s">
        <v>732</v>
      </c>
      <c r="B14" s="325">
        <f>SUM(B9:B13)</f>
        <v>184198.31</v>
      </c>
    </row>
    <row r="16" spans="1:9" ht="18" x14ac:dyDescent="0.25">
      <c r="A16" s="323" t="s">
        <v>786</v>
      </c>
      <c r="F16" s="330" t="s">
        <v>1610</v>
      </c>
    </row>
    <row r="17" spans="1:6" ht="15" x14ac:dyDescent="0.2">
      <c r="A17" s="321" t="s">
        <v>1597</v>
      </c>
      <c r="B17" s="324">
        <f>'DOE25'!L363-'DOE25'!L362</f>
        <v>195687</v>
      </c>
      <c r="F17" s="321" t="s">
        <v>1611</v>
      </c>
    </row>
    <row r="18" spans="1:6" ht="15" x14ac:dyDescent="0.2">
      <c r="A18" s="321" t="s">
        <v>1598</v>
      </c>
      <c r="B18" s="338"/>
      <c r="F18" s="330" t="s">
        <v>1637</v>
      </c>
    </row>
    <row r="19" spans="1:6" ht="18" x14ac:dyDescent="0.25">
      <c r="A19" s="323" t="s">
        <v>725</v>
      </c>
      <c r="B19" s="325">
        <f>SUM(B17:B18)</f>
        <v>195687</v>
      </c>
    </row>
    <row r="21" spans="1:6" ht="18.75" thickBot="1" x14ac:dyDescent="0.3">
      <c r="A21" s="323" t="s">
        <v>1599</v>
      </c>
    </row>
    <row r="22" spans="1:6" ht="18.75" thickTop="1" x14ac:dyDescent="0.25">
      <c r="A22" s="323" t="s">
        <v>1600</v>
      </c>
      <c r="B22" s="329">
        <f>B14-B19</f>
        <v>-11488.690000000002</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12355.37</v>
      </c>
      <c r="F31" s="321" t="s">
        <v>1615</v>
      </c>
    </row>
    <row r="33" spans="1:6" ht="15" x14ac:dyDescent="0.2">
      <c r="A33" s="321" t="s">
        <v>1641</v>
      </c>
      <c r="B33" s="324">
        <f>'DOE25'!G477</f>
        <v>866.67999999999302</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Pemi-Baker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3122408.33</v>
      </c>
      <c r="C9" s="229">
        <f>'DOE25'!G198+'DOE25'!G216+'DOE25'!G234+'DOE25'!G277+'DOE25'!G296+'DOE25'!G315</f>
        <v>1798425.07</v>
      </c>
    </row>
    <row r="10" spans="1:3" x14ac:dyDescent="0.2">
      <c r="A10" t="s">
        <v>775</v>
      </c>
      <c r="B10" s="240">
        <v>2992296.81</v>
      </c>
      <c r="C10" s="240">
        <v>1725313.05</v>
      </c>
    </row>
    <row r="11" spans="1:3" x14ac:dyDescent="0.2">
      <c r="A11" t="s">
        <v>776</v>
      </c>
      <c r="B11" s="240">
        <v>95141.39</v>
      </c>
      <c r="C11" s="240">
        <v>68858.990000000005</v>
      </c>
    </row>
    <row r="12" spans="1:3" x14ac:dyDescent="0.2">
      <c r="A12" t="s">
        <v>777</v>
      </c>
      <c r="B12" s="240">
        <v>34970.129999999997</v>
      </c>
      <c r="C12" s="240">
        <v>4253.03</v>
      </c>
    </row>
    <row r="13" spans="1:3" x14ac:dyDescent="0.2">
      <c r="A13" t="str">
        <f>IF(B9=B13,IF(C9=C13,"Check Total OK","Check Total Error"),"Check Total Error")</f>
        <v>Check Total OK</v>
      </c>
      <c r="B13" s="231">
        <f>SUM(B10:B12)</f>
        <v>3122408.33</v>
      </c>
      <c r="C13" s="231">
        <f>SUM(C10:C12)</f>
        <v>1798425.07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1065772.2</v>
      </c>
      <c r="C18" s="229">
        <f>'DOE25'!G199+'DOE25'!G217+'DOE25'!G235+'DOE25'!G278+'DOE25'!G297+'DOE25'!G316</f>
        <v>650522.91</v>
      </c>
    </row>
    <row r="19" spans="1:3" x14ac:dyDescent="0.2">
      <c r="A19" t="s">
        <v>775</v>
      </c>
      <c r="B19" s="240">
        <v>509897.57</v>
      </c>
      <c r="C19" s="240">
        <v>306387.31</v>
      </c>
    </row>
    <row r="20" spans="1:3" x14ac:dyDescent="0.2">
      <c r="A20" t="s">
        <v>776</v>
      </c>
      <c r="B20" s="240">
        <v>495079.72</v>
      </c>
      <c r="C20" s="240">
        <v>314532.21000000002</v>
      </c>
    </row>
    <row r="21" spans="1:3" x14ac:dyDescent="0.2">
      <c r="A21" t="s">
        <v>777</v>
      </c>
      <c r="B21" s="240">
        <v>60794.91</v>
      </c>
      <c r="C21" s="240">
        <v>29603.39</v>
      </c>
    </row>
    <row r="22" spans="1:3" x14ac:dyDescent="0.2">
      <c r="A22" t="str">
        <f>IF(B18=B22,IF(C18=C22,"Check Total OK","Check Total Error"),"Check Total Error")</f>
        <v>Check Total OK</v>
      </c>
      <c r="B22" s="231">
        <f>SUM(B19:B21)</f>
        <v>1065772.2</v>
      </c>
      <c r="C22" s="231">
        <f>SUM(C19:C21)</f>
        <v>650522.91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471707.81</v>
      </c>
      <c r="C27" s="234">
        <f>'DOE25'!G200+'DOE25'!G218+'DOE25'!G236+'DOE25'!G279+'DOE25'!G298+'DOE25'!G317</f>
        <v>205026.03</v>
      </c>
    </row>
    <row r="28" spans="1:3" x14ac:dyDescent="0.2">
      <c r="A28" t="s">
        <v>775</v>
      </c>
      <c r="B28" s="240">
        <v>471707.81</v>
      </c>
      <c r="C28" s="240">
        <v>205026.03</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471707.81</v>
      </c>
      <c r="C31" s="231">
        <f>SUM(C28:C30)</f>
        <v>205026.03</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240467.9</v>
      </c>
      <c r="C36" s="235">
        <f>'DOE25'!G201+'DOE25'!G219+'DOE25'!G237+'DOE25'!G280+'DOE25'!G299+'DOE25'!G318</f>
        <v>49188.43</v>
      </c>
    </row>
    <row r="37" spans="1:3" x14ac:dyDescent="0.2">
      <c r="A37" t="s">
        <v>775</v>
      </c>
      <c r="B37" s="240">
        <v>28850</v>
      </c>
      <c r="C37" s="240">
        <v>5765.97</v>
      </c>
    </row>
    <row r="38" spans="1:3" x14ac:dyDescent="0.2">
      <c r="A38" t="s">
        <v>776</v>
      </c>
      <c r="B38" s="240"/>
      <c r="C38" s="240"/>
    </row>
    <row r="39" spans="1:3" x14ac:dyDescent="0.2">
      <c r="A39" t="s">
        <v>777</v>
      </c>
      <c r="B39" s="240">
        <v>211617.9</v>
      </c>
      <c r="C39" s="240">
        <v>43422.46</v>
      </c>
    </row>
    <row r="40" spans="1:3" x14ac:dyDescent="0.2">
      <c r="A40" t="str">
        <f>IF(B36=B40,IF(C36=C40,"Check Total OK","Check Total Error"),"Check Total Error")</f>
        <v>Check Total OK</v>
      </c>
      <c r="B40" s="231">
        <f>SUM(B37:B39)</f>
        <v>240467.9</v>
      </c>
      <c r="C40" s="231">
        <f>SUM(C37:C39)</f>
        <v>49188.43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Pemi-Baker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8410299.9500000011</v>
      </c>
      <c r="D5" s="20">
        <f>SUM('DOE25'!L198:L201)+SUM('DOE25'!L216:L219)+SUM('DOE25'!L234:L237)-F5-G5-H5</f>
        <v>8150045.7300000014</v>
      </c>
      <c r="E5" s="243"/>
      <c r="F5" s="244"/>
      <c r="G5" s="53">
        <f>SUM('DOE25'!J198:J201)+SUM('DOE25'!J216:J219)+SUM('DOE25'!J234:J237)</f>
        <v>253855.22</v>
      </c>
      <c r="H5" s="53">
        <f>SUM('DOE25'!K198:K201)+SUM('DOE25'!K216:K219)+SUM('DOE25'!K234:K237)</f>
        <v>6399</v>
      </c>
      <c r="I5" s="256"/>
    </row>
    <row r="6" spans="1:9" x14ac:dyDescent="0.2">
      <c r="A6" s="32">
        <v>2100</v>
      </c>
      <c r="B6" t="s">
        <v>796</v>
      </c>
      <c r="C6" s="276">
        <f t="shared" si="0"/>
        <v>1004750.2700000001</v>
      </c>
      <c r="D6" s="20">
        <f>'DOE25'!L203+'DOE25'!L221+'DOE25'!L239-F6-G6-H6</f>
        <v>994302.21000000008</v>
      </c>
      <c r="E6" s="243"/>
      <c r="F6" s="244"/>
      <c r="G6" s="53">
        <f>'DOE25'!J203+'DOE25'!J221+'DOE25'!J239</f>
        <v>8696.06</v>
      </c>
      <c r="H6" s="53">
        <f>'DOE25'!K203+'DOE25'!K221+'DOE25'!K239</f>
        <v>1752</v>
      </c>
      <c r="I6" s="256"/>
    </row>
    <row r="7" spans="1:9" x14ac:dyDescent="0.2">
      <c r="A7" s="32">
        <v>2200</v>
      </c>
      <c r="B7" t="s">
        <v>821</v>
      </c>
      <c r="C7" s="276">
        <f t="shared" si="0"/>
        <v>247411.37</v>
      </c>
      <c r="D7" s="20">
        <f>'DOE25'!L204+'DOE25'!L222+'DOE25'!L240-F7-G7-H7</f>
        <v>245716.24</v>
      </c>
      <c r="E7" s="243"/>
      <c r="F7" s="244"/>
      <c r="G7" s="53">
        <f>'DOE25'!J204+'DOE25'!J222+'DOE25'!J240</f>
        <v>1695.13</v>
      </c>
      <c r="H7" s="53">
        <f>'DOE25'!K204+'DOE25'!K222+'DOE25'!K240</f>
        <v>0</v>
      </c>
      <c r="I7" s="256"/>
    </row>
    <row r="8" spans="1:9" x14ac:dyDescent="0.2">
      <c r="A8" s="32">
        <v>2300</v>
      </c>
      <c r="B8" t="s">
        <v>797</v>
      </c>
      <c r="C8" s="276">
        <f t="shared" si="0"/>
        <v>632360.81999999995</v>
      </c>
      <c r="D8" s="243"/>
      <c r="E8" s="20">
        <f>'DOE25'!L205+'DOE25'!L223+'DOE25'!L241-F8-G8-H8-D9-D11</f>
        <v>632360.81999999995</v>
      </c>
      <c r="F8" s="244"/>
      <c r="G8" s="53">
        <f>'DOE25'!J205+'DOE25'!J223+'DOE25'!J241</f>
        <v>0</v>
      </c>
      <c r="H8" s="53">
        <f>'DOE25'!K205+'DOE25'!K223+'DOE25'!K241</f>
        <v>0</v>
      </c>
      <c r="I8" s="256"/>
    </row>
    <row r="9" spans="1:9" ht="14.25" x14ac:dyDescent="0.2">
      <c r="A9" s="32">
        <v>2310</v>
      </c>
      <c r="B9" s="185" t="s">
        <v>890</v>
      </c>
      <c r="C9" s="276">
        <f t="shared" si="0"/>
        <v>37642.769999999997</v>
      </c>
      <c r="D9" s="244">
        <v>37642.769999999997</v>
      </c>
      <c r="E9" s="243"/>
      <c r="F9" s="253"/>
      <c r="G9" s="253"/>
      <c r="H9" s="253"/>
      <c r="I9" s="256"/>
    </row>
    <row r="10" spans="1:9" ht="14.25" x14ac:dyDescent="0.2">
      <c r="A10" s="32">
        <v>2317</v>
      </c>
      <c r="B10" s="185" t="s">
        <v>891</v>
      </c>
      <c r="C10" s="276">
        <f t="shared" si="0"/>
        <v>7000</v>
      </c>
      <c r="D10" s="243"/>
      <c r="E10" s="244">
        <v>7000</v>
      </c>
      <c r="F10" s="253"/>
      <c r="G10" s="253"/>
      <c r="H10" s="253"/>
      <c r="I10" s="256"/>
    </row>
    <row r="11" spans="1:9" ht="14.25" x14ac:dyDescent="0.2">
      <c r="A11" s="32">
        <v>2321</v>
      </c>
      <c r="B11" s="185" t="s">
        <v>892</v>
      </c>
      <c r="C11" s="276">
        <f t="shared" si="0"/>
        <v>213878.46</v>
      </c>
      <c r="D11" s="244">
        <v>213878.46</v>
      </c>
      <c r="E11" s="243"/>
      <c r="F11" s="253"/>
      <c r="G11" s="253"/>
      <c r="H11" s="253"/>
      <c r="I11" s="256"/>
    </row>
    <row r="12" spans="1:9" x14ac:dyDescent="0.2">
      <c r="A12" s="32">
        <v>2400</v>
      </c>
      <c r="B12" t="s">
        <v>711</v>
      </c>
      <c r="C12" s="276">
        <f t="shared" si="0"/>
        <v>595921.77000000014</v>
      </c>
      <c r="D12" s="20">
        <f>'DOE25'!L206+'DOE25'!L224+'DOE25'!L242-F12-G12-H12</f>
        <v>570494.21000000008</v>
      </c>
      <c r="E12" s="243"/>
      <c r="F12" s="244"/>
      <c r="G12" s="53">
        <f>'DOE25'!J206+'DOE25'!J224+'DOE25'!J242</f>
        <v>2767.02</v>
      </c>
      <c r="H12" s="53">
        <f>'DOE25'!K206+'DOE25'!K224+'DOE25'!K242</f>
        <v>22660.54</v>
      </c>
      <c r="I12" s="256"/>
    </row>
    <row r="13" spans="1:9" x14ac:dyDescent="0.2">
      <c r="A13" s="32">
        <v>2500</v>
      </c>
      <c r="B13" t="s">
        <v>798</v>
      </c>
      <c r="C13" s="276">
        <f t="shared" si="0"/>
        <v>3341.53</v>
      </c>
      <c r="D13" s="243"/>
      <c r="E13" s="20">
        <f>'DOE25'!L207+'DOE25'!L225+'DOE25'!L243-F13-G13-H13</f>
        <v>3341.53</v>
      </c>
      <c r="F13" s="244"/>
      <c r="G13" s="53">
        <f>'DOE25'!J207+'DOE25'!J225+'DOE25'!J243</f>
        <v>0</v>
      </c>
      <c r="H13" s="53">
        <f>'DOE25'!K207+'DOE25'!K225+'DOE25'!K243</f>
        <v>0</v>
      </c>
      <c r="I13" s="256"/>
    </row>
    <row r="14" spans="1:9" x14ac:dyDescent="0.2">
      <c r="A14" s="32">
        <v>2600</v>
      </c>
      <c r="B14" t="s">
        <v>819</v>
      </c>
      <c r="C14" s="276">
        <f t="shared" si="0"/>
        <v>1424348.62</v>
      </c>
      <c r="D14" s="20">
        <f>'DOE25'!L208+'DOE25'!L226+'DOE25'!L244-F14-G14-H14</f>
        <v>1409417.56</v>
      </c>
      <c r="E14" s="243"/>
      <c r="F14" s="244"/>
      <c r="G14" s="53">
        <f>'DOE25'!J208+'DOE25'!J226+'DOE25'!J244</f>
        <v>14931.06</v>
      </c>
      <c r="H14" s="53">
        <f>'DOE25'!K208+'DOE25'!K226+'DOE25'!K244</f>
        <v>0</v>
      </c>
      <c r="I14" s="256"/>
    </row>
    <row r="15" spans="1:9" x14ac:dyDescent="0.2">
      <c r="A15" s="32">
        <v>2700</v>
      </c>
      <c r="B15" t="s">
        <v>799</v>
      </c>
      <c r="C15" s="276">
        <f t="shared" si="0"/>
        <v>606998.4</v>
      </c>
      <c r="D15" s="20">
        <f>'DOE25'!L209+'DOE25'!L227+'DOE25'!L245-F15-G15-H15</f>
        <v>135668.40000000002</v>
      </c>
      <c r="E15" s="243"/>
      <c r="F15" s="244">
        <v>471330</v>
      </c>
      <c r="G15" s="53">
        <f>'DOE25'!J209+'DOE25'!J227+'DOE25'!J245</f>
        <v>0</v>
      </c>
      <c r="H15" s="53">
        <f>'DOE25'!K209+'DOE25'!K227+'DOE25'!K245</f>
        <v>0</v>
      </c>
      <c r="I15" s="256"/>
    </row>
    <row r="16" spans="1:9" x14ac:dyDescent="0.2">
      <c r="A16" s="32">
        <v>2800</v>
      </c>
      <c r="B16" t="s">
        <v>800</v>
      </c>
      <c r="C16" s="276">
        <f t="shared" si="0"/>
        <v>56327.56</v>
      </c>
      <c r="D16" s="243"/>
      <c r="E16" s="20">
        <f>'DOE25'!L210+'DOE25'!L228+'DOE25'!L246-F16-G16-H16</f>
        <v>56327.56</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910885.54</v>
      </c>
      <c r="D22" s="243"/>
      <c r="E22" s="243"/>
      <c r="F22" s="243"/>
      <c r="G22" s="53">
        <f>'DOE25'!L256+'DOE25'!L337</f>
        <v>910885.54</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606765.99</v>
      </c>
      <c r="D25" s="243"/>
      <c r="E25" s="243"/>
      <c r="F25" s="255"/>
      <c r="G25" s="253"/>
      <c r="H25" s="253"/>
      <c r="I25" s="254">
        <f>'DOE25'!L261+'DOE25'!L262+'DOE25'!L342+'DOE25'!L343</f>
        <v>606765.99</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195687</v>
      </c>
      <c r="D29" s="284">
        <f>'DOE25'!L359+'DOE25'!L360+'DOE25'!L361-'DOE25'!I368-F29-G29-H29</f>
        <v>73498</v>
      </c>
      <c r="E29" s="243"/>
      <c r="F29" s="244">
        <v>122189</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361206.66</v>
      </c>
      <c r="D31" s="20">
        <f>'DOE25'!L291+'DOE25'!L310+'DOE25'!L329+'DOE25'!L334+'DOE25'!L335+'DOE25'!L336-F31-G31-H31</f>
        <v>333434.14</v>
      </c>
      <c r="E31" s="243"/>
      <c r="F31" s="244"/>
      <c r="G31" s="53">
        <f>'DOE25'!J291+'DOE25'!J310+'DOE25'!J329+'DOE25'!J334+'DOE25'!J335+'DOE25'!J336</f>
        <v>11776.16</v>
      </c>
      <c r="H31" s="53">
        <f>'DOE25'!K291+'DOE25'!K310+'DOE25'!K329+'DOE25'!K334+'DOE25'!K335+'DOE25'!K336</f>
        <v>15996.359999999999</v>
      </c>
      <c r="I31" s="256"/>
    </row>
    <row r="32" spans="1:9" ht="12" thickBot="1" x14ac:dyDescent="0.25">
      <c r="C32" s="277"/>
      <c r="G32" s="251"/>
      <c r="H32" s="251"/>
      <c r="I32" s="258"/>
    </row>
    <row r="33" spans="1:9" ht="12" thickTop="1" x14ac:dyDescent="0.2">
      <c r="B33" t="s">
        <v>809</v>
      </c>
      <c r="D33" s="245">
        <f t="shared" ref="D33:I33" si="1">SUM(D5:D31)</f>
        <v>12164097.720000004</v>
      </c>
      <c r="E33" s="245">
        <f t="shared" si="1"/>
        <v>699029.90999999992</v>
      </c>
      <c r="F33" s="245">
        <f t="shared" si="1"/>
        <v>593519</v>
      </c>
      <c r="G33" s="245">
        <f t="shared" si="1"/>
        <v>1204606.19</v>
      </c>
      <c r="H33" s="245">
        <f t="shared" si="1"/>
        <v>46807.9</v>
      </c>
      <c r="I33" s="245">
        <f t="shared" si="1"/>
        <v>606765.99</v>
      </c>
    </row>
    <row r="35" spans="1:9" ht="12" thickBot="1" x14ac:dyDescent="0.25">
      <c r="B35" s="251" t="s">
        <v>831</v>
      </c>
      <c r="D35" s="252">
        <f>E33</f>
        <v>699029.90999999992</v>
      </c>
      <c r="E35" s="248"/>
    </row>
    <row r="36" spans="1:9" ht="12" thickTop="1" x14ac:dyDescent="0.2">
      <c r="B36" t="s">
        <v>810</v>
      </c>
      <c r="D36" s="20">
        <f>D33</f>
        <v>12164097.720000004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Pemi-Baker School District</v>
      </c>
      <c r="B2" s="126">
        <f>'DOE25'!B2</f>
        <v>428</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0</v>
      </c>
      <c r="G4" s="303">
        <f>'DOE25'!L212+'DOE25'!L291</f>
        <v>0</v>
      </c>
      <c r="H4" s="337">
        <f>F4-G4</f>
        <v>0</v>
      </c>
      <c r="I4" s="309" t="str">
        <f>IF(H4=0,"","Does not match DOE25 page 7 and 11 Totals!!")</f>
        <v/>
      </c>
      <c r="N4"/>
    </row>
    <row r="5" spans="1:18" x14ac:dyDescent="0.2">
      <c r="A5" s="21"/>
      <c r="B5" s="304" t="str">
        <f>IFERROR(VLOOKUP(A5,'School Tables'!$C$3:$D$365,2,FALSE),"")</f>
        <v/>
      </c>
      <c r="C5" s="297" t="str">
        <f>IFERROR(INDEX('School Tables'!$B$3:$B$365,MATCH('School Level Expenditures'!B5,'School Tables'!$D$3:$D$365,0)),"")</f>
        <v/>
      </c>
      <c r="D5" s="294"/>
      <c r="E5" s="294"/>
      <c r="F5" s="312">
        <f>D5+E5</f>
        <v>0</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13594488.18</v>
      </c>
      <c r="G36" s="303">
        <f>'DOE25'!L248+'DOE25'!L329</f>
        <v>13594488.18</v>
      </c>
      <c r="H36" s="337">
        <f>F36-G36</f>
        <v>0</v>
      </c>
      <c r="I36" s="309" t="str">
        <f>IF(H36=0,"","Does not match DOE25 page 9 and 13 Totals!!")</f>
        <v/>
      </c>
      <c r="N36"/>
    </row>
    <row r="37" spans="1:14" x14ac:dyDescent="0.2">
      <c r="A37" s="21" t="s">
        <v>1355</v>
      </c>
      <c r="B37" s="304">
        <f>IFERROR(VLOOKUP(A37,'School Tables'!$O$3:$P$118,2,FALSE),"")</f>
        <v>22350</v>
      </c>
      <c r="C37" s="297" t="str">
        <f t="array" ref="C37">IFERROR(INDEX('School Tables'!$N$3:$N$118,MATCH('School Level Expenditures'!B37,'School Tables'!$P$3:$P$118,0)),"")</f>
        <v>Pemi-Baker Regional</v>
      </c>
      <c r="D37" s="294">
        <v>13233281.52</v>
      </c>
      <c r="E37" s="294">
        <v>361206.66</v>
      </c>
      <c r="F37" s="307">
        <f>D37+E37</f>
        <v>13594488.18</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Pemi-Baker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889248.8</v>
      </c>
      <c r="D8" s="95">
        <f>'DOE25'!G9</f>
        <v>-40818.32</v>
      </c>
      <c r="E8" s="95">
        <f>'DOE25'!H9</f>
        <v>-45364.19</v>
      </c>
      <c r="F8" s="95">
        <f>'DOE25'!I9</f>
        <v>-64246</v>
      </c>
      <c r="G8" s="95">
        <f>'DOE25'!J9</f>
        <v>0</v>
      </c>
      <c r="H8" s="124"/>
      <c r="I8" s="124"/>
    </row>
    <row r="9" spans="1:9" x14ac:dyDescent="0.2">
      <c r="A9" s="1" t="s">
        <v>140</v>
      </c>
      <c r="B9" s="6">
        <v>110</v>
      </c>
      <c r="C9" s="95">
        <f>'DOE25'!F10</f>
        <v>0</v>
      </c>
      <c r="D9" s="95">
        <f>'DOE25'!G10</f>
        <v>0</v>
      </c>
      <c r="E9" s="95">
        <f>'DOE25'!H10</f>
        <v>0</v>
      </c>
      <c r="F9" s="95">
        <f>'DOE25'!I10</f>
        <v>0</v>
      </c>
      <c r="G9" s="95">
        <f>'DOE25'!J10</f>
        <v>3516.15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278461.5</v>
      </c>
      <c r="D12" s="95">
        <f>'DOE25'!G13</f>
        <v>0</v>
      </c>
      <c r="E12" s="95">
        <f>'DOE25'!H13</f>
        <v>46559.13</v>
      </c>
      <c r="F12" s="95">
        <f>'DOE25'!I13</f>
        <v>64246</v>
      </c>
      <c r="G12" s="95">
        <f>'DOE25'!J13</f>
        <v>0</v>
      </c>
      <c r="H12" s="124"/>
      <c r="I12" s="124"/>
    </row>
    <row r="13" spans="1:9" x14ac:dyDescent="0.2">
      <c r="A13" s="1" t="s">
        <v>144</v>
      </c>
      <c r="B13" s="6">
        <v>150</v>
      </c>
      <c r="C13" s="95">
        <f>'DOE25'!F14</f>
        <v>30310.3</v>
      </c>
      <c r="D13" s="95">
        <f>'DOE25'!G14</f>
        <v>41685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65603.63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1263624.23</v>
      </c>
      <c r="D18" s="41">
        <f>SUM(D8:D17)</f>
        <v>866.68000000000029</v>
      </c>
      <c r="E18" s="41">
        <f>SUM(E8:E17)</f>
        <v>1194.9399999999951</v>
      </c>
      <c r="F18" s="41">
        <f>SUM(F8:F17)</f>
        <v>0</v>
      </c>
      <c r="G18" s="41">
        <f>SUM(G8:G17)</f>
        <v>3516.15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181429.12</v>
      </c>
      <c r="D23" s="95">
        <f>'DOE25'!G24</f>
        <v>0</v>
      </c>
      <c r="E23" s="95">
        <f>'DOE25'!H24</f>
        <v>974.9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220.04</v>
      </c>
      <c r="F29" s="95">
        <f>'DOE25'!I30</f>
        <v>6286.22</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181429.12</v>
      </c>
      <c r="D31" s="41">
        <f>SUM(D21:D30)</f>
        <v>0</v>
      </c>
      <c r="E31" s="41">
        <f>SUM(E21:E30)</f>
        <v>1194.94</v>
      </c>
      <c r="F31" s="41">
        <f>SUM(F21:F30)</f>
        <v>6286.22</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292724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866.68</v>
      </c>
      <c r="E47" s="95">
        <f>'DOE25'!H48</f>
        <v>0</v>
      </c>
      <c r="F47" s="95">
        <f>'DOE25'!I48</f>
        <v>-6286.22</v>
      </c>
      <c r="G47" s="95">
        <f>'DOE25'!J48</f>
        <v>3516.15</v>
      </c>
      <c r="H47" s="124"/>
      <c r="I47" s="124"/>
    </row>
    <row r="48" spans="1:9" x14ac:dyDescent="0.2">
      <c r="A48" s="1" t="s">
        <v>882</v>
      </c>
      <c r="B48" s="6">
        <v>753</v>
      </c>
      <c r="C48" s="95">
        <f>'DOE25'!F49</f>
        <v>160296.20000000001</v>
      </c>
      <c r="D48" s="95">
        <f>'DOE25'!G49</f>
        <v>0</v>
      </c>
      <c r="E48" s="95">
        <f>'DOE25'!H49</f>
        <v>0</v>
      </c>
      <c r="F48" s="95">
        <f>'DOE25'!I49</f>
        <v>0</v>
      </c>
      <c r="G48" s="95">
        <f>'DOE25'!J49</f>
        <v>0</v>
      </c>
      <c r="H48" s="124"/>
      <c r="I48" s="124"/>
    </row>
    <row r="49" spans="1:9" ht="12" thickBot="1" x14ac:dyDescent="0.25">
      <c r="A49" s="29" t="s">
        <v>883</v>
      </c>
      <c r="B49" s="71">
        <v>770</v>
      </c>
      <c r="C49" s="95">
        <f>'DOE25'!F50</f>
        <v>629174.91</v>
      </c>
      <c r="D49" s="24" t="s">
        <v>288</v>
      </c>
      <c r="E49" s="24" t="s">
        <v>288</v>
      </c>
      <c r="F49" s="24" t="s">
        <v>288</v>
      </c>
      <c r="G49" s="24" t="s">
        <v>288</v>
      </c>
      <c r="H49" s="124"/>
      <c r="I49" s="124"/>
    </row>
    <row r="50" spans="1:9" ht="12.75" thickTop="1" thickBot="1" x14ac:dyDescent="0.25">
      <c r="A50" s="38" t="s">
        <v>884</v>
      </c>
      <c r="B50" s="48"/>
      <c r="C50" s="41">
        <f>SUM(C34:C49)</f>
        <v>1082195.1100000001</v>
      </c>
      <c r="D50" s="41">
        <f>SUM(D34:D49)</f>
        <v>866.68</v>
      </c>
      <c r="E50" s="41">
        <f>SUM(E34:E49)</f>
        <v>0</v>
      </c>
      <c r="F50" s="41">
        <f>SUM(F34:F49)</f>
        <v>-6286.22</v>
      </c>
      <c r="G50" s="41">
        <f>SUM(G34:G49)</f>
        <v>3516.15</v>
      </c>
      <c r="H50" s="124"/>
      <c r="I50" s="124"/>
    </row>
    <row r="51" spans="1:9" ht="12" thickTop="1" x14ac:dyDescent="0.2">
      <c r="A51" s="38" t="s">
        <v>885</v>
      </c>
      <c r="B51" s="2"/>
      <c r="C51" s="41">
        <f>C50+C31</f>
        <v>1263624.23</v>
      </c>
      <c r="D51" s="41">
        <f>D50+D31</f>
        <v>866.68</v>
      </c>
      <c r="E51" s="41">
        <f>E50+E31</f>
        <v>1194.94</v>
      </c>
      <c r="F51" s="41">
        <f>F50+F31</f>
        <v>0</v>
      </c>
      <c r="G51" s="41">
        <f>G50+G31</f>
        <v>3516.15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10106770</v>
      </c>
      <c r="D56" s="95">
        <f>'DOE25'!G60</f>
        <v>0</v>
      </c>
      <c r="E56" s="95">
        <f>'DOE25'!H60</f>
        <v>0</v>
      </c>
      <c r="F56" s="95">
        <f>'DOE25'!I60</f>
        <v>0</v>
      </c>
      <c r="G56" s="95">
        <f>'DOE25'!J60</f>
        <v>0</v>
      </c>
      <c r="H56"/>
      <c r="I56"/>
    </row>
    <row r="57" spans="1:9" x14ac:dyDescent="0.2">
      <c r="A57" s="1" t="s">
        <v>164</v>
      </c>
      <c r="B57" s="6" t="s">
        <v>165</v>
      </c>
      <c r="C57" s="95">
        <f>'DOE25'!F79</f>
        <v>221207.05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3330.93</v>
      </c>
      <c r="D59" s="95">
        <f>'DOE25'!G96</f>
        <v>0</v>
      </c>
      <c r="E59" s="95">
        <f>'DOE25'!H96</f>
        <v>0</v>
      </c>
      <c r="F59" s="95">
        <f>'DOE25'!I96</f>
        <v>0</v>
      </c>
      <c r="G59" s="95">
        <f>'DOE25'!J96</f>
        <v>53.48</v>
      </c>
      <c r="H59"/>
      <c r="I59"/>
    </row>
    <row r="60" spans="1:9" x14ac:dyDescent="0.2">
      <c r="A60" s="1" t="s">
        <v>170</v>
      </c>
      <c r="B60" s="118" t="s">
        <v>171</v>
      </c>
      <c r="C60" s="24" t="s">
        <v>288</v>
      </c>
      <c r="D60" s="95">
        <f>'DOE25'!G97</f>
        <v>118023.35</v>
      </c>
      <c r="E60" s="24" t="s">
        <v>288</v>
      </c>
      <c r="F60" s="24" t="s">
        <v>288</v>
      </c>
      <c r="G60" s="24" t="s">
        <v>288</v>
      </c>
      <c r="H60"/>
      <c r="I60"/>
    </row>
    <row r="61" spans="1:9" ht="12" thickBot="1" x14ac:dyDescent="0.25">
      <c r="A61" s="1" t="s">
        <v>172</v>
      </c>
      <c r="B61" s="118" t="s">
        <v>173</v>
      </c>
      <c r="C61" s="95">
        <f>SUM('DOE25'!F98:F110)</f>
        <v>98555.25</v>
      </c>
      <c r="D61" s="95">
        <f>SUM('DOE25'!G98:G110)</f>
        <v>345.05</v>
      </c>
      <c r="E61" s="95">
        <f>SUM('DOE25'!H98:H110)</f>
        <v>0</v>
      </c>
      <c r="F61" s="95">
        <f>SUM('DOE25'!I98:I110)</f>
        <v>0</v>
      </c>
      <c r="G61" s="95">
        <f>SUM('DOE25'!J98:J110)</f>
        <v>0</v>
      </c>
      <c r="H61"/>
      <c r="I61"/>
    </row>
    <row r="62" spans="1:9" ht="12.75" thickTop="1" thickBot="1" x14ac:dyDescent="0.25">
      <c r="A62" s="29" t="s">
        <v>174</v>
      </c>
      <c r="B62" s="6"/>
      <c r="C62" s="130">
        <f>SUM(C57:C61)</f>
        <v>323093.23</v>
      </c>
      <c r="D62" s="130">
        <f>SUM(D57:D61)</f>
        <v>118368.40000000001</v>
      </c>
      <c r="E62" s="130">
        <f>SUM(E57:E61)</f>
        <v>0</v>
      </c>
      <c r="F62" s="130">
        <f>SUM(F57:F61)</f>
        <v>0</v>
      </c>
      <c r="G62" s="130">
        <f>SUM(G57:G61)</f>
        <v>53.48</v>
      </c>
      <c r="H62"/>
      <c r="I62"/>
    </row>
    <row r="63" spans="1:9" ht="12" thickTop="1" x14ac:dyDescent="0.2">
      <c r="A63" s="29" t="s">
        <v>175</v>
      </c>
      <c r="B63" s="6"/>
      <c r="C63" s="22">
        <f>C56+C62</f>
        <v>10429863.23</v>
      </c>
      <c r="D63" s="22">
        <f>D56+D62</f>
        <v>118368.40000000001</v>
      </c>
      <c r="E63" s="22">
        <f>E56+E62</f>
        <v>0</v>
      </c>
      <c r="F63" s="22">
        <f>F56+F62</f>
        <v>0</v>
      </c>
      <c r="G63" s="22">
        <f>G56+G62</f>
        <v>53.48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2543265.25</v>
      </c>
      <c r="D66" s="24" t="s">
        <v>288</v>
      </c>
      <c r="E66" s="24" t="s">
        <v>288</v>
      </c>
      <c r="F66" s="24" t="s">
        <v>288</v>
      </c>
      <c r="G66" s="24" t="s">
        <v>288</v>
      </c>
      <c r="H66"/>
      <c r="I66"/>
    </row>
    <row r="67" spans="1:9" x14ac:dyDescent="0.2">
      <c r="A67" s="1" t="s">
        <v>770</v>
      </c>
      <c r="B67" s="6">
        <v>3112</v>
      </c>
      <c r="C67" s="95">
        <f>'DOE25'!F118</f>
        <v>1602205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4145470.25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67082.259999999995</v>
      </c>
      <c r="D75" s="24" t="s">
        <v>288</v>
      </c>
      <c r="E75" s="24" t="s">
        <v>288</v>
      </c>
      <c r="F75" s="24" t="s">
        <v>288</v>
      </c>
      <c r="G75" s="24" t="s">
        <v>288</v>
      </c>
      <c r="H75"/>
      <c r="I75"/>
    </row>
    <row r="76" spans="1:9" x14ac:dyDescent="0.2">
      <c r="A76" s="1" t="s">
        <v>257</v>
      </c>
      <c r="B76" s="6" t="s">
        <v>179</v>
      </c>
      <c r="C76" s="95">
        <f>SUM('DOE25'!F127:F130)</f>
        <v>34200.5</v>
      </c>
      <c r="D76" s="24" t="s">
        <v>288</v>
      </c>
      <c r="E76" s="95">
        <f>SUM('DOE25'!H127:H130)</f>
        <v>0</v>
      </c>
      <c r="F76" s="95">
        <f>SUM('DOE25'!I127:I130)</f>
        <v>0</v>
      </c>
      <c r="G76" s="24" t="s">
        <v>288</v>
      </c>
      <c r="H76"/>
      <c r="I76"/>
    </row>
    <row r="77" spans="1:9" ht="12" thickBot="1" x14ac:dyDescent="0.25">
      <c r="A77" s="1" t="s">
        <v>258</v>
      </c>
      <c r="B77" s="6" t="s">
        <v>180</v>
      </c>
      <c r="C77" s="95">
        <f>SUM('DOE25'!F131:F135)</f>
        <v>119127.16</v>
      </c>
      <c r="D77" s="95">
        <f>SUM('DOE25'!G131:G135)</f>
        <v>2705.26</v>
      </c>
      <c r="E77" s="95">
        <f>SUM('DOE25'!H131:H135)</f>
        <v>0</v>
      </c>
      <c r="F77" s="95">
        <f>SUM('DOE25'!I131:I135)</f>
        <v>296014.02</v>
      </c>
      <c r="G77" s="95">
        <f>SUM('DOE25'!J131:J135)</f>
        <v>0</v>
      </c>
      <c r="H77"/>
      <c r="I77"/>
    </row>
    <row r="78" spans="1:9" ht="12.75" thickTop="1" thickBot="1" x14ac:dyDescent="0.25">
      <c r="A78" s="29" t="s">
        <v>259</v>
      </c>
      <c r="B78" s="6"/>
      <c r="C78" s="130">
        <f>SUM(C72:C77)</f>
        <v>220409.91999999998</v>
      </c>
      <c r="D78" s="130">
        <f>SUM(D72:D77)</f>
        <v>2705.26</v>
      </c>
      <c r="E78" s="130">
        <f>SUM(E72:E77)</f>
        <v>0</v>
      </c>
      <c r="F78" s="130">
        <f>SUM(F72:F77)</f>
        <v>296014.02</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4365880.17</v>
      </c>
      <c r="D81" s="130">
        <f>SUM(D79:D80)+D78+D70</f>
        <v>2705.26</v>
      </c>
      <c r="E81" s="130">
        <f>SUM(E79:E80)+E78+E70</f>
        <v>0</v>
      </c>
      <c r="F81" s="130">
        <f>SUM(F79:F80)+F78+F70</f>
        <v>296014.02</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70635.44</v>
      </c>
      <c r="D88" s="341">
        <f>SUM('DOE25'!G153:G162)</f>
        <v>63124.65</v>
      </c>
      <c r="E88" s="341">
        <f>SUM('DOE25'!H153:H162)</f>
        <v>361206.65999999992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70635.44</v>
      </c>
      <c r="D91" s="131">
        <f>SUM(D85:D90)</f>
        <v>63124.65</v>
      </c>
      <c r="E91" s="131">
        <f>SUM(E85:E90)</f>
        <v>361206.65999999992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14866378.84</v>
      </c>
      <c r="D104" s="86">
        <f>D63+D81+D91+D103</f>
        <v>184198.31</v>
      </c>
      <c r="E104" s="86">
        <f>E63+E81+E91+E103</f>
        <v>361206.65999999992</v>
      </c>
      <c r="F104" s="86">
        <f>F63+F81+F91+F103</f>
        <v>296014.02</v>
      </c>
      <c r="G104" s="86">
        <f>G63+G81+G103</f>
        <v>53.48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5198187.3900000006</v>
      </c>
      <c r="D109" s="24" t="s">
        <v>288</v>
      </c>
      <c r="E109" s="95">
        <f>('DOE25'!L277)+('DOE25'!L296)+('DOE25'!L315)</f>
        <v>135956.93999999997</v>
      </c>
      <c r="F109" s="24" t="s">
        <v>288</v>
      </c>
      <c r="G109" s="24" t="s">
        <v>288</v>
      </c>
    </row>
    <row r="110" spans="1:7" x14ac:dyDescent="0.2">
      <c r="A110" t="s">
        <v>198</v>
      </c>
      <c r="B110" s="32" t="s">
        <v>199</v>
      </c>
      <c r="C110" s="95">
        <f>('DOE25'!L199)+('DOE25'!L217)+('DOE25'!L235)</f>
        <v>2086798.8799999997</v>
      </c>
      <c r="D110" s="24" t="s">
        <v>288</v>
      </c>
      <c r="E110" s="95">
        <f>('DOE25'!L278)+('DOE25'!L297)+('DOE25'!L316)</f>
        <v>4805</v>
      </c>
      <c r="F110" s="24" t="s">
        <v>288</v>
      </c>
      <c r="G110" s="24" t="s">
        <v>288</v>
      </c>
    </row>
    <row r="111" spans="1:7" x14ac:dyDescent="0.2">
      <c r="A111" t="s">
        <v>200</v>
      </c>
      <c r="B111" s="32" t="s">
        <v>165</v>
      </c>
      <c r="C111" s="95">
        <f>('DOE25'!L200)+('DOE25'!L218)+('DOE25'!L236)</f>
        <v>709338.70999999985</v>
      </c>
      <c r="D111" s="24" t="s">
        <v>288</v>
      </c>
      <c r="E111" s="95">
        <f>('DOE25'!L279)+('DOE25'!L298)+('DOE25'!L317)</f>
        <v>80880.23</v>
      </c>
      <c r="F111" s="24" t="s">
        <v>288</v>
      </c>
      <c r="G111" s="24" t="s">
        <v>288</v>
      </c>
    </row>
    <row r="112" spans="1:7" x14ac:dyDescent="0.2">
      <c r="A112" t="s">
        <v>201</v>
      </c>
      <c r="B112" s="32" t="s">
        <v>167</v>
      </c>
      <c r="C112" s="95">
        <f>('DOE25'!L201)+('DOE25'!L219)+('DOE25'!L237)</f>
        <v>415974.97</v>
      </c>
      <c r="D112" s="24" t="s">
        <v>288</v>
      </c>
      <c r="E112" s="95">
        <f>+('DOE25'!L280)+('DOE25'!L299)+('DOE25'!L318)</f>
        <v>63100.45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8410299.9500000011</v>
      </c>
      <c r="D115" s="86">
        <f>SUM(D109:D114)</f>
        <v>0</v>
      </c>
      <c r="E115" s="86">
        <f>SUM(E109:E114)</f>
        <v>284742.62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1004750.2700000001</v>
      </c>
      <c r="D118" s="24" t="s">
        <v>288</v>
      </c>
      <c r="E118" s="95">
        <f>+('DOE25'!L282)+('DOE25'!L301)+('DOE25'!L320)</f>
        <v>22779.760000000002</v>
      </c>
      <c r="F118" s="24" t="s">
        <v>288</v>
      </c>
      <c r="G118" s="24" t="s">
        <v>288</v>
      </c>
    </row>
    <row r="119" spans="1:7" x14ac:dyDescent="0.2">
      <c r="A119" t="s">
        <v>208</v>
      </c>
      <c r="B119" s="32" t="s">
        <v>209</v>
      </c>
      <c r="C119" s="95">
        <f>('DOE25'!L204)+('DOE25'!L222)+('DOE25'!L240)</f>
        <v>247411.37</v>
      </c>
      <c r="D119" s="24" t="s">
        <v>288</v>
      </c>
      <c r="E119" s="95">
        <f>+('DOE25'!L283)+('DOE25'!L302)+('DOE25'!L321)</f>
        <v>15160</v>
      </c>
      <c r="F119" s="24" t="s">
        <v>288</v>
      </c>
      <c r="G119" s="24" t="s">
        <v>288</v>
      </c>
    </row>
    <row r="120" spans="1:7" x14ac:dyDescent="0.2">
      <c r="A120" t="s">
        <v>210</v>
      </c>
      <c r="B120" s="32" t="s">
        <v>211</v>
      </c>
      <c r="C120" s="95">
        <f>('DOE25'!L205)+('DOE25'!L223)+('DOE25'!L241)</f>
        <v>883882.04999999993</v>
      </c>
      <c r="D120" s="24" t="s">
        <v>288</v>
      </c>
      <c r="E120" s="95">
        <f>+('DOE25'!L284)+('DOE25'!L303)+('DOE25'!L322)</f>
        <v>18195.05</v>
      </c>
      <c r="F120" s="24" t="s">
        <v>288</v>
      </c>
      <c r="G120" s="24" t="s">
        <v>288</v>
      </c>
    </row>
    <row r="121" spans="1:7" x14ac:dyDescent="0.2">
      <c r="A121" t="s">
        <v>212</v>
      </c>
      <c r="B121" s="32" t="s">
        <v>213</v>
      </c>
      <c r="C121" s="95">
        <f>('DOE25'!L206)+('DOE25'!L224)+('DOE25'!L242)</f>
        <v>595921.77000000014</v>
      </c>
      <c r="D121" s="24" t="s">
        <v>288</v>
      </c>
      <c r="E121" s="95">
        <f>+('DOE25'!L285)+('DOE25'!L304)+('DOE25'!L323)</f>
        <v>12345</v>
      </c>
      <c r="F121" s="24" t="s">
        <v>288</v>
      </c>
      <c r="G121" s="24" t="s">
        <v>288</v>
      </c>
    </row>
    <row r="122" spans="1:7" x14ac:dyDescent="0.2">
      <c r="A122" t="s">
        <v>214</v>
      </c>
      <c r="B122" s="32" t="s">
        <v>215</v>
      </c>
      <c r="C122" s="95">
        <f>('DOE25'!L207)+('DOE25'!L225)+('DOE25'!L243)</f>
        <v>3341.53</v>
      </c>
      <c r="D122" s="24" t="s">
        <v>288</v>
      </c>
      <c r="E122" s="95">
        <f>+('DOE25'!L286)+('DOE25'!L305)+('DOE25'!L324)</f>
        <v>7984.23</v>
      </c>
      <c r="F122" s="24" t="s">
        <v>288</v>
      </c>
      <c r="G122" s="24" t="s">
        <v>288</v>
      </c>
    </row>
    <row r="123" spans="1:7" x14ac:dyDescent="0.2">
      <c r="A123" t="s">
        <v>216</v>
      </c>
      <c r="B123" s="32" t="s">
        <v>217</v>
      </c>
      <c r="C123" s="95">
        <f>('DOE25'!L208)+('DOE25'!L226)+('DOE25'!L244)</f>
        <v>1424348.62</v>
      </c>
      <c r="D123" s="24" t="s">
        <v>288</v>
      </c>
      <c r="E123" s="95">
        <f>+('DOE25'!L287)+('DOE25'!L306)+('DOE25'!L325)</f>
        <v>0</v>
      </c>
      <c r="F123" s="24" t="s">
        <v>288</v>
      </c>
      <c r="G123" s="24" t="s">
        <v>288</v>
      </c>
    </row>
    <row r="124" spans="1:7" x14ac:dyDescent="0.2">
      <c r="A124" t="s">
        <v>218</v>
      </c>
      <c r="B124" s="32" t="s">
        <v>219</v>
      </c>
      <c r="C124" s="95">
        <f>('DOE25'!L209)+('DOE25'!L227)+('DOE25'!L245+'DOE25'!L255)</f>
        <v>606998.4</v>
      </c>
      <c r="D124" s="24" t="s">
        <v>288</v>
      </c>
      <c r="E124" s="95">
        <f>+('DOE25'!L288)+('DOE25'!L307)+('DOE25'!L326)</f>
        <v>0</v>
      </c>
      <c r="F124" s="24" t="s">
        <v>288</v>
      </c>
      <c r="G124" s="24" t="s">
        <v>288</v>
      </c>
    </row>
    <row r="125" spans="1:7" x14ac:dyDescent="0.2">
      <c r="A125" t="s">
        <v>220</v>
      </c>
      <c r="B125" s="32" t="s">
        <v>221</v>
      </c>
      <c r="C125" s="95">
        <f>('DOE25'!L210)+('DOE25'!L228)+('DOE25'!L246)</f>
        <v>56327.56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195687</v>
      </c>
      <c r="E127" s="24" t="s">
        <v>288</v>
      </c>
      <c r="F127" s="24" t="s">
        <v>288</v>
      </c>
      <c r="G127" s="24" t="s">
        <v>288</v>
      </c>
    </row>
    <row r="128" spans="1:7" ht="12.75" thickTop="1" thickBot="1" x14ac:dyDescent="0.25">
      <c r="A128" s="33" t="s">
        <v>226</v>
      </c>
      <c r="C128" s="86">
        <f>SUM(C118:C127)</f>
        <v>4822981.5699999994</v>
      </c>
      <c r="D128" s="86">
        <f>SUM(D118:D127)</f>
        <v>195687</v>
      </c>
      <c r="E128" s="86">
        <f>SUM(E118:E127)</f>
        <v>76464.039999999994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910885.54</v>
      </c>
      <c r="D130" s="24" t="s">
        <v>288</v>
      </c>
      <c r="E130" s="129">
        <f>'DOE25'!L337</f>
        <v>0</v>
      </c>
      <c r="F130" s="129">
        <f>SUM('DOE25'!L375:'DOE25'!L381)</f>
        <v>225687</v>
      </c>
      <c r="G130" s="24" t="s">
        <v>288</v>
      </c>
    </row>
    <row r="131" spans="1:7" x14ac:dyDescent="0.2">
      <c r="A131" t="s">
        <v>229</v>
      </c>
      <c r="B131" s="32">
        <v>5110</v>
      </c>
      <c r="C131" s="95">
        <f>'DOE25'!L261</f>
        <v>390282.14</v>
      </c>
      <c r="D131" s="24" t="s">
        <v>288</v>
      </c>
      <c r="E131" s="129">
        <f>'DOE25'!L342</f>
        <v>0</v>
      </c>
      <c r="F131" s="24" t="s">
        <v>288</v>
      </c>
      <c r="G131" s="24" t="s">
        <v>288</v>
      </c>
    </row>
    <row r="132" spans="1:7" x14ac:dyDescent="0.2">
      <c r="A132" t="s">
        <v>230</v>
      </c>
      <c r="B132" s="32">
        <v>5120</v>
      </c>
      <c r="C132" s="95">
        <f>'DOE25'!L262</f>
        <v>216483.85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26.1</v>
      </c>
      <c r="D138" s="24" t="s">
        <v>288</v>
      </c>
      <c r="E138" s="24" t="s">
        <v>288</v>
      </c>
      <c r="F138" s="24" t="s">
        <v>288</v>
      </c>
      <c r="G138" s="24" t="s">
        <v>288</v>
      </c>
    </row>
    <row r="139" spans="1:7" x14ac:dyDescent="0.2">
      <c r="A139" t="s">
        <v>239</v>
      </c>
      <c r="B139" s="32">
        <v>5252</v>
      </c>
      <c r="C139" s="95">
        <f>'DOE25'!L402</f>
        <v>27.38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-53.480000000000004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1517651.5300000003</v>
      </c>
      <c r="D144" s="141">
        <f>SUM(D130:D143)</f>
        <v>0</v>
      </c>
      <c r="E144" s="141">
        <f>SUM(E130:E143)</f>
        <v>0</v>
      </c>
      <c r="F144" s="141">
        <f>SUM(F130:F143)</f>
        <v>225687</v>
      </c>
      <c r="G144" s="141">
        <f>SUM(G130:G143)</f>
        <v>0</v>
      </c>
    </row>
    <row r="145" spans="1:9" ht="12.75" thickTop="1" thickBot="1" x14ac:dyDescent="0.25">
      <c r="A145" s="33" t="s">
        <v>244</v>
      </c>
      <c r="C145" s="86">
        <f>(C115+C128+C144)</f>
        <v>14750933.050000001</v>
      </c>
      <c r="D145" s="86">
        <f>(D115+D128+D144)</f>
        <v>195687</v>
      </c>
      <c r="E145" s="86">
        <f>(E115+E128+E144)</f>
        <v>361206.66</v>
      </c>
      <c r="F145" s="86">
        <f>(F115+F128+F144)</f>
        <v>225687</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1/09/2019</v>
      </c>
      <c r="C152" s="152">
        <f>'DOE25'!G492</f>
        <v>0</v>
      </c>
      <c r="D152" s="152">
        <f>'DOE25'!H492</f>
        <v>0</v>
      </c>
      <c r="E152" s="152">
        <f>'DOE25'!I492</f>
        <v>0</v>
      </c>
      <c r="F152" s="152">
        <f>'DOE25'!J492</f>
        <v>0</v>
      </c>
      <c r="G152" s="24" t="s">
        <v>288</v>
      </c>
    </row>
    <row r="153" spans="1:9" x14ac:dyDescent="0.2">
      <c r="A153" s="136" t="s">
        <v>29</v>
      </c>
      <c r="B153" s="152" t="str">
        <f>'DOE25'!F493</f>
        <v>2/15/2029</v>
      </c>
      <c r="C153" s="152">
        <f>'DOE25'!G493</f>
        <v>0</v>
      </c>
      <c r="D153" s="152">
        <f>'DOE25'!H493</f>
        <v>0</v>
      </c>
      <c r="E153" s="152">
        <f>'DOE25'!I493</f>
        <v>0</v>
      </c>
      <c r="F153" s="152">
        <f>'DOE25'!J493</f>
        <v>0</v>
      </c>
      <c r="G153" s="24" t="s">
        <v>288</v>
      </c>
    </row>
    <row r="154" spans="1:9" x14ac:dyDescent="0.2">
      <c r="A154" s="136" t="s">
        <v>30</v>
      </c>
      <c r="B154" s="137">
        <f>'DOE25'!F494</f>
        <v>3205000</v>
      </c>
      <c r="C154" s="137">
        <f>'DOE25'!G494</f>
        <v>0</v>
      </c>
      <c r="D154" s="137">
        <f>'DOE25'!H494</f>
        <v>0</v>
      </c>
      <c r="E154" s="137">
        <f>'DOE25'!I494</f>
        <v>0</v>
      </c>
      <c r="F154" s="137">
        <f>'DOE25'!J494</f>
        <v>0</v>
      </c>
      <c r="G154" s="24" t="s">
        <v>288</v>
      </c>
    </row>
    <row r="155" spans="1:9" x14ac:dyDescent="0.2">
      <c r="A155" s="136" t="s">
        <v>31</v>
      </c>
      <c r="B155" s="137">
        <f>'DOE25'!F495</f>
        <v>2.2200000000000002</v>
      </c>
      <c r="C155" s="137">
        <f>'DOE25'!G495</f>
        <v>0</v>
      </c>
      <c r="D155" s="137">
        <f>'DOE25'!H495</f>
        <v>0</v>
      </c>
      <c r="E155" s="137">
        <f>'DOE25'!I495</f>
        <v>0</v>
      </c>
      <c r="F155" s="137">
        <f>'DOE25'!J495</f>
        <v>0</v>
      </c>
      <c r="G155" s="24" t="s">
        <v>288</v>
      </c>
    </row>
    <row r="156" spans="1:9" x14ac:dyDescent="0.2">
      <c r="A156" s="22" t="s">
        <v>32</v>
      </c>
      <c r="B156" s="137">
        <f>'DOE25'!F496</f>
        <v>3205000</v>
      </c>
      <c r="C156" s="137">
        <f>'DOE25'!G496</f>
        <v>0</v>
      </c>
      <c r="D156" s="137">
        <f>'DOE25'!H496</f>
        <v>0</v>
      </c>
      <c r="E156" s="137">
        <f>'DOE25'!I496</f>
        <v>0</v>
      </c>
      <c r="F156" s="137">
        <f>'DOE25'!J496</f>
        <v>0</v>
      </c>
      <c r="G156" s="138">
        <f>SUM(B156:F156)</f>
        <v>3205000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289300</v>
      </c>
      <c r="C158" s="137">
        <f>'DOE25'!G498</f>
        <v>0</v>
      </c>
      <c r="D158" s="137">
        <f>'DOE25'!H498</f>
        <v>0</v>
      </c>
      <c r="E158" s="137">
        <f>'DOE25'!I498</f>
        <v>0</v>
      </c>
      <c r="F158" s="137">
        <f>'DOE25'!J498</f>
        <v>0</v>
      </c>
      <c r="G158" s="138">
        <f t="shared" si="0"/>
        <v>289300</v>
      </c>
    </row>
    <row r="159" spans="1:9" x14ac:dyDescent="0.2">
      <c r="A159" s="22" t="s">
        <v>35</v>
      </c>
      <c r="B159" s="137">
        <f>'DOE25'!F499</f>
        <v>2915700</v>
      </c>
      <c r="C159" s="137">
        <f>'DOE25'!G499</f>
        <v>0</v>
      </c>
      <c r="D159" s="137">
        <f>'DOE25'!H499</f>
        <v>0</v>
      </c>
      <c r="E159" s="137">
        <f>'DOE25'!I499</f>
        <v>0</v>
      </c>
      <c r="F159" s="137">
        <f>'DOE25'!J499</f>
        <v>0</v>
      </c>
      <c r="G159" s="138">
        <f t="shared" si="0"/>
        <v>2915700</v>
      </c>
    </row>
    <row r="160" spans="1:9" x14ac:dyDescent="0.2">
      <c r="A160" s="22" t="s">
        <v>36</v>
      </c>
      <c r="B160" s="137">
        <f>'DOE25'!F500</f>
        <v>618114.04</v>
      </c>
      <c r="C160" s="137">
        <f>'DOE25'!G500</f>
        <v>0</v>
      </c>
      <c r="D160" s="137">
        <f>'DOE25'!H500</f>
        <v>0</v>
      </c>
      <c r="E160" s="137">
        <f>'DOE25'!I500</f>
        <v>0</v>
      </c>
      <c r="F160" s="137">
        <f>'DOE25'!J500</f>
        <v>0</v>
      </c>
      <c r="G160" s="138">
        <f t="shared" si="0"/>
        <v>618114.04</v>
      </c>
    </row>
    <row r="161" spans="1:7" x14ac:dyDescent="0.2">
      <c r="A161" s="22" t="s">
        <v>37</v>
      </c>
      <c r="B161" s="137">
        <f>'DOE25'!F501</f>
        <v>3533814.04</v>
      </c>
      <c r="C161" s="137">
        <f>'DOE25'!G501</f>
        <v>0</v>
      </c>
      <c r="D161" s="137">
        <f>'DOE25'!H501</f>
        <v>0</v>
      </c>
      <c r="E161" s="137">
        <f>'DOE25'!I501</f>
        <v>0</v>
      </c>
      <c r="F161" s="137">
        <f>'DOE25'!J501</f>
        <v>0</v>
      </c>
      <c r="G161" s="138">
        <f t="shared" si="0"/>
        <v>3533814.04</v>
      </c>
    </row>
    <row r="162" spans="1:7" x14ac:dyDescent="0.2">
      <c r="A162" s="22" t="s">
        <v>38</v>
      </c>
      <c r="B162" s="137">
        <f>'DOE25'!F502</f>
        <v>285000</v>
      </c>
      <c r="C162" s="137">
        <f>'DOE25'!G502</f>
        <v>0</v>
      </c>
      <c r="D162" s="137">
        <f>'DOE25'!H502</f>
        <v>0</v>
      </c>
      <c r="E162" s="137">
        <f>'DOE25'!I502</f>
        <v>0</v>
      </c>
      <c r="F162" s="137">
        <f>'DOE25'!J502</f>
        <v>0</v>
      </c>
      <c r="G162" s="138">
        <f t="shared" si="0"/>
        <v>285000</v>
      </c>
    </row>
    <row r="163" spans="1:7" x14ac:dyDescent="0.2">
      <c r="A163" s="22" t="s">
        <v>39</v>
      </c>
      <c r="B163" s="137">
        <f>'DOE25'!F503</f>
        <v>126217.26</v>
      </c>
      <c r="C163" s="137">
        <f>'DOE25'!G503</f>
        <v>0</v>
      </c>
      <c r="D163" s="137">
        <f>'DOE25'!H503</f>
        <v>0</v>
      </c>
      <c r="E163" s="137">
        <f>'DOE25'!I503</f>
        <v>0</v>
      </c>
      <c r="F163" s="137">
        <f>'DOE25'!J503</f>
        <v>0</v>
      </c>
      <c r="G163" s="138">
        <f t="shared" si="0"/>
        <v>126217.26</v>
      </c>
    </row>
    <row r="164" spans="1:7" x14ac:dyDescent="0.2">
      <c r="A164" s="22" t="s">
        <v>246</v>
      </c>
      <c r="B164" s="137">
        <f>'DOE25'!F504</f>
        <v>411217.26</v>
      </c>
      <c r="C164" s="137">
        <f>'DOE25'!G504</f>
        <v>0</v>
      </c>
      <c r="D164" s="137">
        <f>'DOE25'!H504</f>
        <v>0</v>
      </c>
      <c r="E164" s="137">
        <f>'DOE25'!I504</f>
        <v>0</v>
      </c>
      <c r="F164" s="137">
        <f>'DOE25'!J504</f>
        <v>0</v>
      </c>
      <c r="G164" s="138">
        <f t="shared" si="0"/>
        <v>411217.26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Pemi-Baker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20216</v>
      </c>
    </row>
    <row r="7" spans="1:4" x14ac:dyDescent="0.2">
      <c r="B7" t="s">
        <v>701</v>
      </c>
      <c r="C7" s="179">
        <f>IF('DOE25'!I666+'DOE25'!I671=0,0,ROUND('DOE25'!I673,0))</f>
        <v>20216</v>
      </c>
    </row>
    <row r="9" spans="1:4" x14ac:dyDescent="0.2">
      <c r="A9" s="187" t="s">
        <v>94</v>
      </c>
      <c r="B9" s="188" t="s">
        <v>1588</v>
      </c>
      <c r="C9" s="181" t="s">
        <v>720</v>
      </c>
      <c r="D9" s="181" t="s">
        <v>721</v>
      </c>
    </row>
    <row r="10" spans="1:4" x14ac:dyDescent="0.2">
      <c r="A10">
        <v>1100</v>
      </c>
      <c r="B10" t="s">
        <v>702</v>
      </c>
      <c r="C10" s="179">
        <f>ROUND('DOE25'!L198+'DOE25'!L216+'DOE25'!L234+'DOE25'!L277+'DOE25'!L296+'DOE25'!L315,0)</f>
        <v>5334144</v>
      </c>
      <c r="D10" s="182">
        <f>ROUND((C10/$C$28)*100,1)</f>
        <v>38.4</v>
      </c>
    </row>
    <row r="11" spans="1:4" x14ac:dyDescent="0.2">
      <c r="A11">
        <v>1200</v>
      </c>
      <c r="B11" t="s">
        <v>703</v>
      </c>
      <c r="C11" s="179">
        <f>ROUND('DOE25'!L199+'DOE25'!L217+'DOE25'!L235+'DOE25'!L278+'DOE25'!L297+'DOE25'!L316,0)</f>
        <v>2091604</v>
      </c>
      <c r="D11" s="182">
        <f>ROUND((C11/$C$28)*100,1)</f>
        <v>15.1</v>
      </c>
    </row>
    <row r="12" spans="1:4" x14ac:dyDescent="0.2">
      <c r="A12">
        <v>1300</v>
      </c>
      <c r="B12" t="s">
        <v>704</v>
      </c>
      <c r="C12" s="179">
        <f>ROUND('DOE25'!L200+'DOE25'!L218+'DOE25'!L236+'DOE25'!L279+'DOE25'!L298+'DOE25'!L317,0)</f>
        <v>790219</v>
      </c>
      <c r="D12" s="182">
        <f>ROUND((C12/$C$28)*100,1)</f>
        <v>5.7</v>
      </c>
    </row>
    <row r="13" spans="1:4" x14ac:dyDescent="0.2">
      <c r="A13">
        <v>1400</v>
      </c>
      <c r="B13" t="s">
        <v>705</v>
      </c>
      <c r="C13" s="179">
        <f>ROUND('DOE25'!L201+'DOE25'!L219+'DOE25'!L237+'DOE25'!L280+'DOE25'!L299+'DOE25'!L318,0)</f>
        <v>479075</v>
      </c>
      <c r="D13" s="182">
        <f>ROUND((C13/$C$28)*100,1)</f>
        <v>3.4</v>
      </c>
    </row>
    <row r="14" spans="1:4" x14ac:dyDescent="0.2">
      <c r="D14" s="182"/>
    </row>
    <row r="15" spans="1:4" x14ac:dyDescent="0.2">
      <c r="A15">
        <v>2100</v>
      </c>
      <c r="B15" t="s">
        <v>706</v>
      </c>
      <c r="C15" s="179">
        <f>ROUND('DOE25'!L203+'DOE25'!L221+'DOE25'!L239+'DOE25'!L282+'DOE25'!L301+'DOE25'!L320,0)</f>
        <v>1027530</v>
      </c>
      <c r="D15" s="182">
        <f t="shared" ref="D15:D27" si="0">ROUND((C15/$C$28)*100,1)</f>
        <v>7.4</v>
      </c>
    </row>
    <row r="16" spans="1:4" x14ac:dyDescent="0.2">
      <c r="A16">
        <v>2200</v>
      </c>
      <c r="B16" t="s">
        <v>707</v>
      </c>
      <c r="C16" s="179">
        <f>ROUND('DOE25'!L204+'DOE25'!L222+'DOE25'!L240+'DOE25'!L283+'DOE25'!L302+'DOE25'!L321,0)</f>
        <v>262571</v>
      </c>
      <c r="D16" s="182">
        <f t="shared" si="0"/>
        <v>1.9</v>
      </c>
    </row>
    <row r="17" spans="1:4" x14ac:dyDescent="0.2">
      <c r="A17" s="183" t="s">
        <v>723</v>
      </c>
      <c r="B17" t="s">
        <v>738</v>
      </c>
      <c r="C17" s="179">
        <f>ROUND('DOE25'!L205+'DOE25'!L210+'DOE25'!L223+'DOE25'!L228+'DOE25'!L241+'DOE25'!L246+'DOE25'!L284+'DOE25'!L289+'DOE25'!L303+'DOE25'!L308+'DOE25'!L322+'DOE25'!L327,0)</f>
        <v>958405</v>
      </c>
      <c r="D17" s="182">
        <f t="shared" si="0"/>
        <v>6.9</v>
      </c>
    </row>
    <row r="18" spans="1:4" x14ac:dyDescent="0.2">
      <c r="A18">
        <v>2400</v>
      </c>
      <c r="B18" t="s">
        <v>711</v>
      </c>
      <c r="C18" s="179">
        <f>ROUND('DOE25'!L206+'DOE25'!L224+'DOE25'!L242+'DOE25'!L285+'DOE25'!L304+'DOE25'!L323,0)</f>
        <v>608267</v>
      </c>
      <c r="D18" s="182">
        <f t="shared" si="0"/>
        <v>4.4000000000000004</v>
      </c>
    </row>
    <row r="19" spans="1:4" x14ac:dyDescent="0.2">
      <c r="A19">
        <v>2500</v>
      </c>
      <c r="B19" t="s">
        <v>708</v>
      </c>
      <c r="C19" s="179">
        <f>ROUND('DOE25'!L207+'DOE25'!L225+'DOE25'!L243+'DOE25'!L286+'DOE25'!L305+'DOE25'!L324,0)</f>
        <v>11326</v>
      </c>
      <c r="D19" s="182">
        <f t="shared" si="0"/>
        <v>0.1</v>
      </c>
    </row>
    <row r="20" spans="1:4" x14ac:dyDescent="0.2">
      <c r="A20">
        <v>2600</v>
      </c>
      <c r="B20" t="s">
        <v>709</v>
      </c>
      <c r="C20" s="179">
        <f>ROUND('DOE25'!L208+'DOE25'!L226+'DOE25'!L244+'DOE25'!L287+'DOE25'!L306+'DOE25'!L325,0)</f>
        <v>1424349</v>
      </c>
      <c r="D20" s="182">
        <f t="shared" si="0"/>
        <v>10.3</v>
      </c>
    </row>
    <row r="21" spans="1:4" x14ac:dyDescent="0.2">
      <c r="A21">
        <v>2700</v>
      </c>
      <c r="B21" t="s">
        <v>710</v>
      </c>
      <c r="C21" s="179">
        <f>ROUND('DOE25'!L209+'DOE25'!L227+'DOE25'!L245+'DOE25'!L288+'DOE25'!L307+'DOE25'!L326,0)</f>
        <v>606998</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216484</v>
      </c>
      <c r="D25" s="182">
        <f t="shared" si="0"/>
        <v>1.6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77318.599999999991</v>
      </c>
      <c r="D27" s="182">
        <f t="shared" si="0"/>
        <v>0.6</v>
      </c>
    </row>
    <row r="28" spans="1:4" x14ac:dyDescent="0.2">
      <c r="B28" s="187" t="s">
        <v>719</v>
      </c>
      <c r="C28" s="180">
        <f>SUM(C10:C27)</f>
        <v>13888290.6</v>
      </c>
      <c r="D28" s="184">
        <f>ROUND(SUM(D10:D27),0)</f>
        <v>100</v>
      </c>
    </row>
    <row r="29" spans="1:4" x14ac:dyDescent="0.2">
      <c r="A29">
        <v>4000</v>
      </c>
      <c r="B29" t="s">
        <v>724</v>
      </c>
      <c r="C29" s="179">
        <f>ROUND('DOE25'!L256+'DOE25'!L337+'DOE25'!L375+'DOE25'!L376+'DOE25'!L377+'DOE25'!L378+'DOE25'!L379+'DOE25'!L380+'DOE25'!L381,0)</f>
        <v>1136573</v>
      </c>
    </row>
    <row r="30" spans="1:4" x14ac:dyDescent="0.2">
      <c r="B30" s="187" t="s">
        <v>725</v>
      </c>
      <c r="C30" s="180">
        <f>SUM(C28:C29)</f>
        <v>15024863.6</v>
      </c>
    </row>
    <row r="31" spans="1:4" x14ac:dyDescent="0.2">
      <c r="B31" s="33"/>
      <c r="C31" s="180"/>
    </row>
    <row r="32" spans="1:4" x14ac:dyDescent="0.2">
      <c r="A32">
        <v>5100</v>
      </c>
      <c r="B32" s="33" t="s">
        <v>726</v>
      </c>
      <c r="C32" s="180">
        <f>ROUND('DOE25'!L261+'DOE25'!L342,0)</f>
        <v>390282</v>
      </c>
    </row>
    <row r="34" spans="1:4" x14ac:dyDescent="0.2">
      <c r="A34" s="187" t="s">
        <v>94</v>
      </c>
      <c r="B34" s="188" t="s">
        <v>1589</v>
      </c>
      <c r="C34" s="181" t="s">
        <v>720</v>
      </c>
      <c r="D34" s="181" t="s">
        <v>721</v>
      </c>
    </row>
    <row r="35" spans="1:4" x14ac:dyDescent="0.2">
      <c r="A35">
        <v>1100</v>
      </c>
      <c r="B35" s="185" t="s">
        <v>727</v>
      </c>
      <c r="C35" s="179">
        <f>ROUND('DOE25'!F60+'DOE25'!G60+'DOE25'!H60+'DOE25'!I60+'DOE25'!J60,0)</f>
        <v>10106770</v>
      </c>
      <c r="D35" s="182">
        <f t="shared" ref="D35:D40" si="1">ROUND((C35/$C$41)*100,1)</f>
        <v>64.8</v>
      </c>
    </row>
    <row r="36" spans="1:4" x14ac:dyDescent="0.2">
      <c r="B36" s="185" t="s">
        <v>739</v>
      </c>
      <c r="C36" s="179">
        <f>SUM('DOE25'!F112:J112)-SUM('DOE25'!G97:G110)+('DOE25'!F175+'DOE25'!F176+'DOE25'!I175+'DOE25'!I176)-C35</f>
        <v>323146.71000000089</v>
      </c>
      <c r="D36" s="182">
        <f t="shared" si="1"/>
        <v>2.1</v>
      </c>
    </row>
    <row r="37" spans="1:4" x14ac:dyDescent="0.2">
      <c r="A37" s="183" t="s">
        <v>835</v>
      </c>
      <c r="B37" s="185" t="s">
        <v>728</v>
      </c>
      <c r="C37" s="179">
        <f>ROUND('DOE25'!F117+'DOE25'!F118,0)</f>
        <v>4145470</v>
      </c>
      <c r="D37" s="182">
        <f t="shared" si="1"/>
        <v>26.6</v>
      </c>
    </row>
    <row r="38" spans="1:4" x14ac:dyDescent="0.2">
      <c r="A38" s="183" t="s">
        <v>734</v>
      </c>
      <c r="B38" s="185" t="s">
        <v>729</v>
      </c>
      <c r="C38" s="179">
        <f>ROUND(SUM('DOE25'!F140:J140)-SUM('DOE25'!F117:F119),0)</f>
        <v>519129</v>
      </c>
      <c r="D38" s="182">
        <f t="shared" si="1"/>
        <v>3.3</v>
      </c>
    </row>
    <row r="39" spans="1:4" x14ac:dyDescent="0.2">
      <c r="A39">
        <v>4000</v>
      </c>
      <c r="B39" s="185" t="s">
        <v>730</v>
      </c>
      <c r="C39" s="179">
        <f>ROUND('DOE25'!F170+'DOE25'!G170+'DOE25'!H170+'DOE25'!I170,0)</f>
        <v>494967</v>
      </c>
      <c r="D39" s="182">
        <f t="shared" si="1"/>
        <v>3.2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15589482.710000001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Pemi-Baker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2020-09-18T13:33:52Z</cp:lastPrinted>
  <dcterms:created xsi:type="dcterms:W3CDTF">1997-12-04T19:04:30Z</dcterms:created>
  <dcterms:modified xsi:type="dcterms:W3CDTF">2020-12-11T20:06:32Z</dcterms:modified>
</cp:coreProperties>
</file>