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10" i="12" l="1"/>
  <c r="B19" i="12"/>
  <c r="H605" i="1"/>
  <c r="H532" i="1"/>
  <c r="H529" i="1"/>
  <c r="H527" i="1"/>
  <c r="I527" i="1" l="1"/>
  <c r="H361" i="1"/>
  <c r="H359" i="1"/>
  <c r="H283" i="1"/>
  <c r="K240" i="1"/>
  <c r="H245" i="1"/>
  <c r="H244" i="1"/>
  <c r="H242" i="1"/>
  <c r="H241" i="1"/>
  <c r="H237" i="1"/>
  <c r="H234" i="1"/>
  <c r="H209" i="1"/>
  <c r="H208" i="1"/>
  <c r="H206" i="1"/>
  <c r="H205" i="1"/>
  <c r="K204" i="1"/>
  <c r="H198" i="1"/>
  <c r="H154" i="1" l="1"/>
  <c r="H156" i="1"/>
  <c r="F109" i="1"/>
  <c r="H401" i="1" l="1"/>
  <c r="H397" i="1"/>
  <c r="H22" i="1"/>
  <c r="H30" i="1"/>
  <c r="G48" i="1"/>
  <c r="F50" i="1"/>
  <c r="F29" i="1"/>
  <c r="F28"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9" i="14"/>
  <c r="C11" i="14"/>
  <c r="C13" i="14"/>
  <c r="C15" i="14"/>
  <c r="C17" i="14"/>
  <c r="C19" i="14"/>
  <c r="B6" i="14"/>
  <c r="C6" i="14" s="1"/>
  <c r="B7" i="14"/>
  <c r="B8" i="14"/>
  <c r="C8" i="14" s="1"/>
  <c r="B9" i="14"/>
  <c r="B10" i="14"/>
  <c r="C10" i="14" s="1"/>
  <c r="B11" i="14"/>
  <c r="B12" i="14"/>
  <c r="C12" i="14" s="1"/>
  <c r="B13" i="14"/>
  <c r="B14" i="14"/>
  <c r="C14" i="14" s="1"/>
  <c r="B15" i="14"/>
  <c r="B16" i="14"/>
  <c r="C16" i="14" s="1"/>
  <c r="B17" i="14"/>
  <c r="B18" i="14"/>
  <c r="C18" i="14" s="1"/>
  <c r="B19" i="14"/>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C130" i="2" s="1"/>
  <c r="L337" i="1"/>
  <c r="E130" i="2" s="1"/>
  <c r="C11" i="13"/>
  <c r="C10" i="13"/>
  <c r="C9" i="13"/>
  <c r="L362" i="1"/>
  <c r="B4" i="12"/>
  <c r="B36" i="12"/>
  <c r="C36" i="12"/>
  <c r="B40" i="12"/>
  <c r="A40" i="12" s="1"/>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36" i="1"/>
  <c r="F147" i="1"/>
  <c r="F170" i="1" s="1"/>
  <c r="G147" i="1"/>
  <c r="H147" i="1"/>
  <c r="H170" i="1" s="1"/>
  <c r="I147" i="1"/>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E119" i="2"/>
  <c r="E120" i="2"/>
  <c r="E123" i="2"/>
  <c r="E124"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F258" i="1" s="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G339" i="1" s="1"/>
  <c r="G353" i="1" s="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I170" i="1"/>
  <c r="J140" i="1"/>
  <c r="J258" i="1" l="1"/>
  <c r="C119" i="2"/>
  <c r="I409" i="1"/>
  <c r="H409" i="1"/>
  <c r="H645" i="1" s="1"/>
  <c r="K339" i="1"/>
  <c r="K353" i="1" s="1"/>
  <c r="D50" i="2"/>
  <c r="J656" i="1"/>
  <c r="J652" i="1"/>
  <c r="G662" i="1"/>
  <c r="C11" i="10"/>
  <c r="G477" i="1"/>
  <c r="L257" i="1"/>
  <c r="H193" i="1"/>
  <c r="C20" i="10"/>
  <c r="D6" i="13"/>
  <c r="C6" i="13" s="1"/>
  <c r="E13" i="13"/>
  <c r="C13" i="13" s="1"/>
  <c r="H112" i="1"/>
  <c r="H194" i="1" s="1"/>
  <c r="G630" i="1" s="1"/>
  <c r="J630" i="1" s="1"/>
  <c r="H462" i="1"/>
  <c r="H642" i="1" s="1"/>
  <c r="J642" i="1" s="1"/>
  <c r="G553" i="1"/>
  <c r="A31" i="12"/>
  <c r="D18" i="13"/>
  <c r="C18" i="13" s="1"/>
  <c r="D15" i="13"/>
  <c r="C15" i="13" s="1"/>
  <c r="C91" i="2"/>
  <c r="H477" i="1"/>
  <c r="H625" i="1" s="1"/>
  <c r="J625" i="1" s="1"/>
  <c r="L402" i="1"/>
  <c r="C139" i="2"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H661" i="1"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C141" i="2" l="1"/>
  <c r="G24" i="14"/>
  <c r="D51" i="2"/>
  <c r="H665" i="1"/>
  <c r="H668" i="1" s="1"/>
  <c r="E145" i="2"/>
  <c r="G36" i="14"/>
  <c r="H36" i="14" s="1"/>
  <c r="I36" i="14" s="1"/>
  <c r="L572" i="1"/>
  <c r="F194" i="1"/>
  <c r="G628" i="1" s="1"/>
  <c r="J628" i="1" s="1"/>
  <c r="C81" i="2"/>
  <c r="E51"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<sst xmlns="http://schemas.openxmlformats.org/spreadsheetml/2006/main" count="5544" uniqueCount="1643">
  <si>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</si>
  <si>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</si>
  <si>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</si>
  <si>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</si>
  <si>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</si>
  <si>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</si>
  <si>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</si>
  <si>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</si>
  <si>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</si>
  <si>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</si>
  <si>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</si>
  <si>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</si>
  <si>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</si>
  <si>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</si>
  <si>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</si>
  <si>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</si>
  <si>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</si>
  <si>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</si>
  <si>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</si>
  <si>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</si>
  <si>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</si>
  <si>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</si>
  <si>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</si>
  <si>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</si>
  <si>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</si>
  <si>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</si>
  <si>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</si>
  <si>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</si>
  <si>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</si>
  <si>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</si>
  <si>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</si>
  <si>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</si>
  <si>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</si>
  <si>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</si>
  <si>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</si>
  <si>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</si>
  <si>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</si>
  <si>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</si>
  <si>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</si>
  <si>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</si>
  <si>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</si>
  <si>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</si>
  <si>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</si>
  <si>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</si>
  <si>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</si>
  <si>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</si>
  <si>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</si>
  <si>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</si>
  <si>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</si>
  <si>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</si>
  <si>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</si>
  <si>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</si>
  <si>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</si>
  <si>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</si>
  <si>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</si>
  <si>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</si>
  <si>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</si>
  <si>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</si>
  <si>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</si>
  <si>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</si>
  <si>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</si>
  <si>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</si>
  <si>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</si>
  <si>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</si>
  <si>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</si>
  <si>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</si>
  <si>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</si>
  <si>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</si>
  <si>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</si>
  <si>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</si>
  <si>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</si>
  <si>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</si>
  <si>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</si>
  <si>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</si>
  <si>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</si>
  <si>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</si>
  <si>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</si>
  <si>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</si>
  <si>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</si>
  <si>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</si>
  <si>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</si>
  <si>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</si>
  <si>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</si>
  <si>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</si>
  <si>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</si>
  <si>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</si>
  <si>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</si>
  <si>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</si>
  <si>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</si>
  <si>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</si>
  <si>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</si>
  <si>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</si>
  <si>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</si>
  <si>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</si>
  <si>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</si>
  <si>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</si>
  <si>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</si>
  <si>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</si>
  <si>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</si>
  <si>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</si>
  <si>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</si>
  <si>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</si>
  <si>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</si>
  <si>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</si>
  <si>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</si>
  <si>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</si>
  <si>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</si>
  <si>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</si>
  <si>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</si>
  <si>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</si>
  <si>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</si>
  <si>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</si>
  <si>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</si>
  <si>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</si>
  <si>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</si>
  <si>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</si>
  <si>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</si>
  <si>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</si>
  <si>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</si>
  <si>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</si>
  <si>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</si>
  <si>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</si>
  <si>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</si>
  <si>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</si>
  <si>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</si>
  <si>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</si>
  <si>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</si>
  <si>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</si>
  <si>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</si>
  <si>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</si>
  <si>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</si>
  <si>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</si>
  <si>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</si>
  <si>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</si>
  <si>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</si>
  <si>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</si>
  <si>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</si>
  <si>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</si>
  <si>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</si>
  <si>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</si>
  <si>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</si>
  <si>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</si>
  <si>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</si>
  <si>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</si>
  <si>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</si>
  <si>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</si>
  <si>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</si>
  <si>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</si>
  <si>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</si>
  <si>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</si>
  <si>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</si>
  <si>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</si>
  <si>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</si>
  <si>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</si>
  <si>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</si>
  <si>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</si>
  <si>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</si>
  <si>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</si>
  <si>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</si>
  <si>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</si>
  <si>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</si>
  <si>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</si>
  <si>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</si>
  <si>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</si>
  <si>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</si>
  <si>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</si>
  <si>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</si>
  <si>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</si>
  <si>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</si>
  <si>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</si>
  <si>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</si>
  <si>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</si>
  <si>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</si>
  <si>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</si>
  <si>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</si>
  <si>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</si>
  <si>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</si>
  <si>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</si>
  <si>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</si>
  <si>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</si>
  <si>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</si>
  <si>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</si>
  <si>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</si>
  <si>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</si>
  <si>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</si>
  <si>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</si>
  <si>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</si>
  <si>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</si>
  <si>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</si>
  <si>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</si>
  <si>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</si>
  <si>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</si>
  <si>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</si>
  <si>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</si>
  <si>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</si>
  <si>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</si>
  <si>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</si>
  <si>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</si>
  <si>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</si>
  <si>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</si>
  <si>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</si>
  <si>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</si>
  <si>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</si>
  <si>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</si>
  <si>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</si>
  <si>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</si>
  <si>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</si>
  <si>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</si>
  <si>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</si>
  <si>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</si>
  <si>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</si>
  <si>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</si>
  <si>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</si>
  <si>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</si>
  <si>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</si>
  <si>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</si>
  <si>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</si>
  <si>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</si>
  <si>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</si>
  <si>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</si>
  <si>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</si>
  <si>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</si>
  <si>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</si>
  <si>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</si>
  <si>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</si>
  <si>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</si>
  <si>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</si>
  <si>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</si>
  <si>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</si>
  <si>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</si>
  <si>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</si>
  <si>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</si>
  <si>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</si>
  <si>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</si>
  <si>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</si>
  <si>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</si>
  <si>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</si>
  <si>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</si>
  <si>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</si>
  <si>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</si>
  <si>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</si>
  <si>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</si>
  <si>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</si>
  <si>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</si>
  <si>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</si>
  <si>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</si>
  <si>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</si>
  <si>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</si>
  <si>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</si>
  <si>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</si>
  <si>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</si>
  <si>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</si>
  <si>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</si>
  <si>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</si>
  <si>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</si>
  <si>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</si>
  <si>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</si>
  <si>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</si>
  <si>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</si>
  <si>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</si>
  <si>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</si>
  <si>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</si>
  <si>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</si>
  <si>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</si>
  <si>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</si>
  <si>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</si>
  <si>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</si>
  <si>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</si>
  <si>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</si>
  <si>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</si>
  <si>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</si>
  <si>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</si>
  <si>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</si>
  <si>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</si>
  <si>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</si>
  <si>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</si>
  <si>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</si>
  <si>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</si>
  <si>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</si>
  <si>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</si>
  <si>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</si>
  <si>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</si>
  <si>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</si>
  <si>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</si>
  <si>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</si>
  <si>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</si>
  <si>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</si>
  <si>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</si>
  <si>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</si>
  <si>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</si>
  <si>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</si>
  <si>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</si>
  <si>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</si>
  <si>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</si>
  <si>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</si>
  <si>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</si>
  <si>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</si>
  <si>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</si>
  <si>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</si>
  <si>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</si>
  <si>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</si>
  <si>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</si>
  <si>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</si>
  <si>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</si>
  <si>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</si>
  <si>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</si>
  <si>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</si>
  <si>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</si>
  <si>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</si>
  <si>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</si>
  <si>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</si>
  <si>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</si>
  <si>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</si>
  <si>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</si>
  <si>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</si>
  <si>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</si>
  <si>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</si>
  <si>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</si>
  <si>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</si>
  <si>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</si>
  <si>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</si>
  <si>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</si>
  <si>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</si>
  <si>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</si>
  <si>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</si>
  <si>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</si>
  <si>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</si>
  <si>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</si>
  <si>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</si>
  <si>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</si>
  <si>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</si>
  <si>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</si>
  <si>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</si>
  <si>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</si>
  <si>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</si>
  <si>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</si>
  <si>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</si>
  <si>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</si>
  <si>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</si>
  <si>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</si>
  <si>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</si>
  <si>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</si>
  <si>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</si>
  <si>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</si>
  <si>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</si>
  <si>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</si>
  <si>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</si>
  <si>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</si>
  <si>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</si>
  <si>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</si>
  <si>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</si>
  <si>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</si>
  <si>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</si>
  <si>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</si>
  <si>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</si>
  <si>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</si>
  <si>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</si>
  <si>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</si>
  <si>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</si>
  <si>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</si>
  <si>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</si>
  <si>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</si>
  <si>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</si>
  <si>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</si>
  <si>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</si>
  <si>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</si>
  <si>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</si>
  <si>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</si>
  <si>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</si>
  <si>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</si>
  <si>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</si>
  <si>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</si>
  <si>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</si>
  <si>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</si>
  <si>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</si>
  <si>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</si>
  <si>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</si>
  <si>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</si>
  <si>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</si>
  <si>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</si>
  <si>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</si>
  <si>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</si>
  <si>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</si>
  <si>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</si>
  <si>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</si>
  <si>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</si>
  <si>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</si>
  <si>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</si>
  <si>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</si>
  <si>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</si>
  <si>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</si>
  <si>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</si>
  <si>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</si>
  <si>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</si>
  <si>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</si>
  <si>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</si>
  <si>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</si>
  <si>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</si>
  <si>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</si>
  <si>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</si>
  <si>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</si>
  <si>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</si>
  <si>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</si>
  <si>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</si>
  <si>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</si>
  <si>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</si>
  <si>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</si>
  <si>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</si>
  <si>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</si>
  <si>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</si>
  <si>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</si>
  <si>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</si>
  <si>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</si>
  <si>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</si>
  <si>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</si>
  <si>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</si>
  <si>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</si>
  <si>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</si>
  <si>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</si>
  <si>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</si>
  <si>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</si>
  <si>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</si>
  <si>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</si>
  <si>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</si>
  <si>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</si>
  <si>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</si>
  <si>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</si>
  <si>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</si>
  <si>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</si>
  <si>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</si>
  <si>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</si>
  <si>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</si>
  <si>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</si>
  <si>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</si>
  <si>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</si>
  <si>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</si>
  <si>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</si>
  <si>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</si>
  <si>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</si>
  <si>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</si>
  <si>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</si>
  <si>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</si>
  <si>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</si>
  <si>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</si>
  <si>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</si>
  <si>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</si>
  <si>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</si>
  <si>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</si>
  <si>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</si>
  <si>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</si>
  <si>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</si>
  <si>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</si>
  <si>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</si>
  <si>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</si>
  <si>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</si>
  <si>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</si>
  <si>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</si>
  <si>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</si>
  <si>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</si>
  <si>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</si>
  <si>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</si>
  <si>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</si>
  <si>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</si>
  <si>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</si>
  <si>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</si>
  <si>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</si>
  <si>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</si>
  <si>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</si>
  <si>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</si>
  <si>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</si>
  <si>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</si>
  <si>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</si>
  <si>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</si>
  <si>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</si>
  <si>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</si>
  <si>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</si>
  <si>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</si>
  <si>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</si>
  <si>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</si>
  <si>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</si>
  <si>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</si>
  <si>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</si>
  <si>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</si>
  <si>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</si>
  <si>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</si>
  <si>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</si>
  <si>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</si>
  <si>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</si>
  <si>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</si>
  <si>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</si>
  <si>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</si>
  <si>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</si>
  <si>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</si>
  <si>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</si>
  <si>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</si>
  <si>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</si>
  <si>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</si>
  <si>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</si>
  <si>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</si>
  <si>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</si>
  <si>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</si>
  <si>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</si>
  <si>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</si>
  <si>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</si>
  <si>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</si>
  <si>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</si>
  <si>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</si>
  <si>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</si>
  <si>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</si>
  <si>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</si>
  <si>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</si>
  <si>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</si>
  <si>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</si>
  <si>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</si>
  <si>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</si>
  <si>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</si>
  <si>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</si>
  <si>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</si>
  <si>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</si>
  <si>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</si>
  <si>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</si>
  <si>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</si>
  <si>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</si>
  <si>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</si>
  <si>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</si>
  <si>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</si>
  <si>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</si>
  <si>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</si>
  <si>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</si>
  <si>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</si>
  <si>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</si>
  <si>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</si>
  <si>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</si>
  <si>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</si>
  <si>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</si>
  <si>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</si>
  <si>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</si>
  <si>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</si>
  <si>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</si>
  <si>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</si>
  <si>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</si>
  <si>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</si>
  <si>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</si>
  <si>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</si>
  <si>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</si>
  <si>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</si>
  <si>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</si>
  <si>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</si>
  <si>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</si>
  <si>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</si>
  <si>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</si>
  <si>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</si>
  <si>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</si>
  <si>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</si>
  <si>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</si>
  <si>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</si>
  <si>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</si>
  <si>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</si>
  <si>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</si>
  <si>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</si>
  <si>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</si>
  <si>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</si>
  <si>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</si>
  <si>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</si>
  <si>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</si>
  <si>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</si>
  <si>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</si>
  <si>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</si>
  <si>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</si>
  <si>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</si>
  <si>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</si>
  <si>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</si>
  <si>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</si>
  <si>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</si>
  <si>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</si>
  <si>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</si>
  <si>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</si>
  <si>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</si>
  <si>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</si>
  <si>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</si>
  <si>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</si>
  <si>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</si>
  <si>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</si>
  <si>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</si>
  <si>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</si>
  <si>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</si>
  <si>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</si>
  <si>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</si>
  <si>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</si>
  <si>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</si>
  <si>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</si>
  <si>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</si>
  <si>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</si>
  <si>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</si>
  <si>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</si>
  <si>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</si>
  <si>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</si>
  <si>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</si>
  <si>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</si>
  <si>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</si>
  <si>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</si>
  <si>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</si>
  <si>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</si>
  <si>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</si>
  <si>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</si>
  <si>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</si>
  <si>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</si>
  <si>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</si>
  <si>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</si>
  <si>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</si>
  <si>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</si>
  <si>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</si>
  <si>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</si>
  <si>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</si>
  <si>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</si>
  <si>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</si>
  <si>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</si>
  <si>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</si>
  <si>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</si>
  <si>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</si>
  <si>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</si>
  <si>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</si>
  <si>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</si>
  <si>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</si>
  <si>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</si>
  <si>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</si>
  <si>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</si>
  <si>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</si>
  <si>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</si>
  <si>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</si>
  <si>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</si>
  <si>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</si>
  <si>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</si>
  <si>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</si>
  <si>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</si>
  <si>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</si>
  <si>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</si>
  <si>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</si>
  <si>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</si>
  <si>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</si>
  <si>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</si>
  <si>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</si>
  <si>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</si>
  <si>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</si>
  <si>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</si>
  <si>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</si>
  <si>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</si>
  <si>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</si>
  <si>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</si>
  <si>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</si>
  <si>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</si>
  <si>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</si>
  <si>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</si>
  <si>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</si>
  <si>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</si>
  <si>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</si>
  <si>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</si>
  <si>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</si>
  <si>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</si>
  <si>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</si>
  <si>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</si>
  <si>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</si>
  <si>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</si>
  <si>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</si>
  <si>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</si>
  <si>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</si>
  <si>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</si>
  <si>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</si>
  <si>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</si>
  <si>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</si>
  <si>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</si>
  <si>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</si>
  <si>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</si>
  <si>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</si>
  <si>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</si>
  <si>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</si>
  <si>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</si>
  <si>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</si>
  <si>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</si>
  <si>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</si>
  <si>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</si>
  <si>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</si>
  <si>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</si>
  <si>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</si>
  <si>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</si>
  <si>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</si>
  <si>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</si>
  <si>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</si>
  <si>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</si>
  <si>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</si>
  <si>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</si>
  <si>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</si>
  <si>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</si>
  <si>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</si>
  <si>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</si>
  <si>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</si>
  <si>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</si>
  <si>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</si>
  <si>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</si>
  <si>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</si>
  <si>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</si>
  <si>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</si>
  <si>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</si>
  <si>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</si>
  <si>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</si>
  <si>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</si>
  <si>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</si>
  <si>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</si>
  <si>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</si>
  <si>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</si>
  <si>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</si>
  <si>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</si>
  <si>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</si>
  <si>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</si>
  <si>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</si>
  <si>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</si>
  <si>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</si>
  <si>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</si>
  <si>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</si>
  <si>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</si>
  <si>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</si>
  <si>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</si>
  <si>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</si>
  <si>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</si>
  <si>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</si>
  <si>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</si>
  <si>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</si>
  <si>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</si>
  <si>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</si>
  <si>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</si>
  <si>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</si>
  <si>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</si>
  <si>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</si>
  <si>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</si>
  <si>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</si>
  <si>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</si>
  <si>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</si>
  <si>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</si>
  <si>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</si>
  <si>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</si>
  <si>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</si>
  <si>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</si>
  <si>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</si>
  <si>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</si>
  <si>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</si>
  <si>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</si>
  <si>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</si>
  <si>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</si>
  <si>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</si>
  <si>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</si>
  <si>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</si>
  <si>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</si>
  <si>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</si>
  <si>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</si>
  <si>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</si>
  <si>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</si>
  <si>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</si>
  <si>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</si>
  <si>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</si>
  <si>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</si>
  <si>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</si>
  <si>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</si>
  <si>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</si>
  <si>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</si>
  <si>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</si>
  <si>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</si>
  <si>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</si>
  <si>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</si>
  <si>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</si>
  <si>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</si>
  <si>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</si>
  <si>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</si>
  <si>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</si>
  <si>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</si>
  <si>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</si>
  <si>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</si>
  <si>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</si>
  <si>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</si>
  <si>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</si>
  <si>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</si>
  <si>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</si>
  <si>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</si>
  <si>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</si>
  <si>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</si>
  <si>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</si>
  <si>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</si>
  <si>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</si>
  <si>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</si>
  <si>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</si>
  <si>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</si>
  <si>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</si>
  <si>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</si>
  <si>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</si>
  <si>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</si>
  <si>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</si>
  <si>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</si>
  <si>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</si>
  <si>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</si>
  <si>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</si>
  <si>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</si>
  <si>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</si>
  <si>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</si>
  <si>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</si>
  <si>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</si>
  <si>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</si>
  <si>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</si>
  <si>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</si>
  <si>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</si>
  <si>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</si>
  <si>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</si>
  <si>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</si>
  <si>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</si>
  <si>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</si>
  <si>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</si>
  <si>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</si>
  <si>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</si>
  <si>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</si>
  <si>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</si>
  <si>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</si>
  <si>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</si>
  <si>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</si>
  <si>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</si>
  <si>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</si>
  <si>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</si>
  <si>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</si>
  <si>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</si>
  <si>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</si>
  <si>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</si>
  <si>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</si>
  <si>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</si>
  <si>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</si>
  <si>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</si>
  <si>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</si>
  <si>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</si>
  <si>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</si>
  <si>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</si>
  <si>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</si>
  <si>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</si>
  <si>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</si>
  <si>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</si>
  <si>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</si>
  <si>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</si>
  <si>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</si>
  <si>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</si>
  <si>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</si>
  <si>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</si>
  <si>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</si>
  <si>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</si>
  <si>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</si>
  <si>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</si>
  <si>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</si>
  <si>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</si>
  <si>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</si>
  <si>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</si>
  <si>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</si>
  <si>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</si>
  <si>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</si>
  <si>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</si>
  <si>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</si>
  <si>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</si>
  <si>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</si>
  <si>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</si>
  <si>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</si>
  <si>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</si>
  <si>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</si>
  <si>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</si>
  <si>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</si>
  <si>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</si>
  <si>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</si>
  <si>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</si>
  <si>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</si>
  <si>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</si>
  <si>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</si>
  <si>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</si>
  <si>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</si>
  <si>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</si>
  <si>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</si>
  <si>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</si>
  <si>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</si>
  <si>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</si>
  <si>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</si>
  <si>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</si>
  <si>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</si>
  <si>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</si>
  <si>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</si>
  <si>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</si>
  <si>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</si>
  <si>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</si>
  <si>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</si>
  <si>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</si>
  <si>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</si>
  <si>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</si>
  <si>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</si>
  <si>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</si>
  <si>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</si>
  <si>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</si>
  <si>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</si>
  <si>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</si>
  <si>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</si>
  <si>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</si>
  <si>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</si>
  <si>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</si>
  <si>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</si>
  <si>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</si>
  <si>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</si>
  <si>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</si>
  <si>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</si>
  <si>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</si>
  <si>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</si>
  <si>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</si>
  <si>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</si>
  <si>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</si>
  <si>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</si>
  <si>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</si>
  <si>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</si>
  <si>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</si>
  <si>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</si>
  <si>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</si>
  <si>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</si>
  <si>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</si>
  <si>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</si>
  <si>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</si>
  <si>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</si>
  <si>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</si>
  <si>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</si>
  <si>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</si>
  <si>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</si>
  <si>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</si>
  <si>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</si>
  <si>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</si>
  <si>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</si>
  <si>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</si>
  <si>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</si>
  <si>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</si>
  <si>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</si>
  <si>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</si>
  <si>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</si>
  <si>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</si>
  <si>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</si>
  <si>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</si>
  <si>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</si>
  <si>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</si>
  <si>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</si>
  <si>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</si>
  <si>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</si>
  <si>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</si>
  <si>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</si>
  <si>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</si>
  <si>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</si>
  <si>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</si>
  <si>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</si>
  <si>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</si>
  <si>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</si>
  <si>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</si>
  <si>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</si>
  <si>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</si>
  <si>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</si>
  <si>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</si>
  <si>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</si>
  <si>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</si>
  <si>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</si>
  <si>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</si>
  <si>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</si>
  <si>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</si>
  <si>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</si>
  <si>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</si>
  <si>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</si>
  <si>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</si>
  <si>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</si>
  <si>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</si>
  <si>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</si>
  <si>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</si>
  <si>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</si>
  <si>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</si>
  <si>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</si>
  <si>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</si>
  <si>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</si>
  <si>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</si>
  <si>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</si>
  <si>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</si>
  <si>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</si>
  <si>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</si>
  <si>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</si>
  <si>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</si>
  <si>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</si>
  <si>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</si>
  <si>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</si>
  <si>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</si>
  <si>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</si>
  <si>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</si>
  <si>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</si>
  <si>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</si>
  <si>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</si>
  <si>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</si>
  <si>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</si>
  <si>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</si>
  <si>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</si>
  <si>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</si>
  <si>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</si>
  <si>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</si>
  <si>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</si>
  <si>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</si>
  <si>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</si>
  <si>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</si>
  <si>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</si>
  <si>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</si>
  <si>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</si>
  <si>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</si>
  <si>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</si>
  <si>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</si>
  <si>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</si>
  <si>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</si>
  <si>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</si>
  <si>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</si>
  <si>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</si>
  <si>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</si>
  <si>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</si>
  <si>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</si>
  <si>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</si>
  <si>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</si>
  <si>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</si>
  <si>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</si>
  <si>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</si>
  <si>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</si>
  <si>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</si>
  <si>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</si>
  <si>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</si>
  <si>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</si>
  <si>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</si>
  <si>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</si>
  <si>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</si>
  <si>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</si>
  <si>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</si>
  <si>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</si>
  <si>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</si>
  <si>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</si>
  <si>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</si>
  <si>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</si>
  <si>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</si>
  <si>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</si>
  <si>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</si>
  <si>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</si>
  <si>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</si>
  <si>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</si>
  <si>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</si>
  <si>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</si>
  <si>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</si>
  <si>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</si>
  <si>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</si>
  <si>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</si>
  <si>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</si>
  <si>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</si>
  <si>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</si>
  <si>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</si>
  <si>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</si>
  <si>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</si>
  <si>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</si>
  <si>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</si>
  <si>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</si>
  <si>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</si>
  <si>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</si>
  <si>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</si>
  <si>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</si>
  <si>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</si>
  <si>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</si>
  <si>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</si>
  <si>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</si>
  <si>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</si>
  <si>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</si>
  <si>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</si>
  <si>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</si>
  <si>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</si>
  <si>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</si>
  <si>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</si>
  <si>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</si>
  <si>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</si>
  <si>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</si>
  <si>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</si>
  <si>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</si>
  <si>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</si>
  <si>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</si>
  <si>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</si>
  <si>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</si>
  <si>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</si>
  <si>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</si>
  <si>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</si>
  <si>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</si>
  <si>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</si>
  <si>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</si>
  <si>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</si>
  <si>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</si>
  <si>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</si>
  <si>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</si>
  <si>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</si>
  <si>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</si>
  <si>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</si>
  <si>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</si>
  <si>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</si>
  <si>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</si>
  <si>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</si>
  <si>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</si>
  <si>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</si>
  <si>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</si>
  <si>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</si>
  <si>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</si>
  <si>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</si>
  <si>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</si>
  <si>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</si>
  <si>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</si>
  <si>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</si>
  <si>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</si>
  <si>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</si>
  <si>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</si>
  <si>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</si>
  <si>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</si>
  <si>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</si>
  <si>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</si>
  <si>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</si>
  <si>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</si>
  <si>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</si>
  <si>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</si>
  <si>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</si>
  <si>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</si>
  <si>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</si>
  <si>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</si>
  <si>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</si>
  <si>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</si>
  <si>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</si>
  <si>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</si>
  <si>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</si>
  <si>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</si>
  <si>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</si>
  <si>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</si>
  <si>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</si>
  <si>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</si>
  <si>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</si>
  <si>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</si>
  <si>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</si>
  <si>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</si>
  <si>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</si>
  <si>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</si>
  <si>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</si>
  <si>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</si>
  <si>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</si>
  <si>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</si>
  <si>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</si>
  <si>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</si>
  <si>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</si>
  <si>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</si>
  <si>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</si>
  <si>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</si>
  <si>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</si>
  <si>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</si>
  <si>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</si>
  <si>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</si>
  <si>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</si>
  <si>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</si>
  <si>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</si>
  <si>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</si>
  <si>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</si>
  <si>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</si>
  <si>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</si>
  <si>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</si>
  <si>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</si>
  <si>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</si>
  <si>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</si>
  <si>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</si>
  <si>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</si>
  <si>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</si>
  <si>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</si>
  <si>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</si>
  <si>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</si>
  <si>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</si>
  <si>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</si>
  <si>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</si>
  <si>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</si>
  <si>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</si>
  <si>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</si>
  <si>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</si>
  <si>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</si>
  <si>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</si>
  <si>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</si>
  <si>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</si>
  <si>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</si>
  <si>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</si>
  <si>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</si>
  <si>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</si>
  <si>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</si>
  <si>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</si>
  <si>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</si>
  <si>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</si>
  <si>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</si>
  <si>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</si>
  <si>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</si>
  <si>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</si>
  <si>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</si>
  <si>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</si>
  <si>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</si>
  <si>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</si>
  <si>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</si>
  <si>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</si>
  <si>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</si>
  <si>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</si>
  <si>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</si>
  <si>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</si>
  <si>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</si>
  <si>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</si>
  <si>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</si>
  <si>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</si>
  <si>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</si>
  <si>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</si>
  <si>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</si>
  <si>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</si>
  <si>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</si>
  <si>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</si>
  <si>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</si>
  <si>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</si>
  <si>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</si>
  <si>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</si>
  <si>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</si>
  <si>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</si>
  <si>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</si>
  <si>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</si>
  <si>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</si>
  <si>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</si>
  <si>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</si>
  <si>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</si>
  <si>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</si>
  <si>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</si>
  <si>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</si>
  <si>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</si>
  <si>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</si>
  <si>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</si>
  <si>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</si>
  <si>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</si>
  <si>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</si>
  <si>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</si>
  <si>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</si>
  <si>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</si>
  <si>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</si>
  <si>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</si>
  <si>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</si>
  <si>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</si>
  <si>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</si>
  <si>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</si>
  <si>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</si>
  <si>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</si>
  <si>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</si>
  <si>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</si>
  <si>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</si>
  <si>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</si>
  <si>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</si>
  <si>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</si>
  <si>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</si>
  <si>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</si>
  <si>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</si>
  <si>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</si>
  <si>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</si>
  <si>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</si>
  <si>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</si>
  <si>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</si>
  <si>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</si>
  <si>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</si>
  <si>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</si>
  <si>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</si>
  <si>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</si>
  <si>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</si>
  <si>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</si>
  <si>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</si>
  <si>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</si>
  <si>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</si>
  <si>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</si>
  <si>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</si>
  <si>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</si>
  <si>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</si>
  <si>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</si>
  <si>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</si>
  <si>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</si>
  <si>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</si>
  <si>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</si>
  <si>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</si>
  <si>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</si>
  <si>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</si>
  <si>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</si>
  <si>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</si>
  <si>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</si>
  <si>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</si>
  <si>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</si>
  <si>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</si>
  <si>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</si>
  <si>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</si>
  <si>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</si>
  <si>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</si>
  <si>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</si>
  <si>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</si>
  <si>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</si>
  <si>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</si>
  <si>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</si>
  <si>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</si>
  <si>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</si>
  <si>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</si>
  <si>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</si>
  <si>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</si>
  <si>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</si>
  <si>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</si>
  <si>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</si>
  <si>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</si>
  <si>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</si>
  <si>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</si>
  <si>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</si>
  <si>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</si>
  <si>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</si>
  <si>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</si>
  <si>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</si>
  <si>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</si>
  <si>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</si>
  <si>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</si>
  <si>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</si>
  <si>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</si>
  <si>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</si>
  <si>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</si>
  <si>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</si>
  <si>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</si>
  <si>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</si>
  <si>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</si>
  <si>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</si>
  <si>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</si>
  <si>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</si>
  <si>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</si>
  <si>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</si>
  <si>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</si>
  <si>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</si>
  <si>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</si>
  <si>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</si>
  <si>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</si>
  <si>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</si>
  <si>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</si>
  <si>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</si>
  <si>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</si>
  <si>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</si>
  <si>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</si>
  <si>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</si>
  <si>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</si>
  <si>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</si>
  <si>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</si>
  <si>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</si>
  <si>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</si>
  <si>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</si>
  <si>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</si>
  <si>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</si>
  <si>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</si>
  <si>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</si>
  <si>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</si>
  <si>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</si>
  <si>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</si>
  <si>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</si>
  <si>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</si>
  <si>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</si>
  <si>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</si>
  <si>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</si>
  <si>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</si>
  <si>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</si>
  <si>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</si>
  <si>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</si>
  <si>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</si>
  <si>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</si>
  <si>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</si>
  <si>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</si>
  <si>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</si>
  <si>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</si>
  <si>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</si>
  <si>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</si>
  <si>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</si>
  <si>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</si>
  <si>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</si>
  <si>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</si>
  <si>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</si>
  <si>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</si>
  <si>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</si>
  <si>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</si>
  <si>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</si>
  <si>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</si>
  <si>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</si>
  <si>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</si>
  <si>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</si>
  <si>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</si>
  <si>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</si>
  <si>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</si>
  <si>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</si>
  <si>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</si>
  <si>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</si>
  <si>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</si>
  <si>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</si>
  <si>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</si>
  <si>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</si>
  <si>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</si>
  <si>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</si>
  <si>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</si>
  <si>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</si>
  <si>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</si>
  <si>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</si>
  <si>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</si>
  <si>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</si>
  <si>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</si>
  <si>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</si>
  <si>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</si>
  <si>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</si>
  <si>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</si>
  <si>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</si>
  <si>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</si>
  <si>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</si>
  <si>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</si>
  <si>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</si>
  <si>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</si>
  <si>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</si>
  <si>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</si>
  <si>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</si>
  <si>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</si>
  <si>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</si>
  <si>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</si>
  <si>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</si>
  <si>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</si>
  <si>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</si>
  <si>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</si>
  <si>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</si>
  <si>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</si>
  <si>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</si>
  <si>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</si>
  <si>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</si>
  <si>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</si>
  <si>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</si>
  <si>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</si>
  <si>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</si>
  <si>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</si>
  <si>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</si>
  <si>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</si>
  <si>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</si>
  <si>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</si>
  <si>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</si>
  <si>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</si>
  <si>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</si>
  <si>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</si>
  <si>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</si>
  <si>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</si>
  <si>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</si>
  <si>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</si>
  <si>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</si>
  <si>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</si>
  <si>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</si>
  <si>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</si>
  <si>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</si>
  <si>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</si>
  <si>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</si>
  <si>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</si>
  <si>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</si>
  <si>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</si>
  <si>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</si>
  <si>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</si>
  <si>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</si>
  <si>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</si>
  <si>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</si>
  <si>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</si>
  <si>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</si>
  <si>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</si>
  <si>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</si>
  <si>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</si>
  <si>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</si>
  <si>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</si>
  <si>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</si>
  <si>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</si>
  <si>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</si>
  <si>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</si>
  <si>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</si>
  <si>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</si>
  <si>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</si>
  <si>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</si>
  <si>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</si>
  <si>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</si>
  <si>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</si>
  <si>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</si>
  <si>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</si>
  <si>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</si>
  <si>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</si>
  <si>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</si>
  <si>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</si>
  <si>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</si>
  <si>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</si>
  <si>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</si>
  <si>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</si>
  <si>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</si>
  <si>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</si>
  <si>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</si>
  <si>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</si>
  <si>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</si>
  <si>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</si>
  <si>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</si>
  <si>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</si>
  <si>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</si>
  <si>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</si>
  <si>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</si>
  <si>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</si>
  <si>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</si>
  <si>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</si>
  <si>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</si>
  <si>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</si>
  <si>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</si>
  <si>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</si>
  <si>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</si>
  <si>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</si>
  <si>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</si>
  <si>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</si>
  <si>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</si>
  <si>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</si>
  <si>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</si>
  <si>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</si>
  <si>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</si>
  <si>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</si>
  <si>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</si>
  <si>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</si>
  <si>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</si>
  <si>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</si>
  <si>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</si>
  <si>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</si>
  <si>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</si>
  <si>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</si>
  <si>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</si>
  <si>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</si>
  <si>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</si>
  <si>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</si>
  <si>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</si>
  <si>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</si>
  <si>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</si>
  <si>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</si>
  <si>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</si>
  <si>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</si>
  <si>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</si>
  <si>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</si>
  <si>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</si>
  <si>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</si>
  <si>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</si>
  <si>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</si>
  <si>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</si>
  <si>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</si>
  <si>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</si>
  <si>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</si>
  <si>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</si>
  <si>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</si>
  <si>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</si>
  <si>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</si>
  <si>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</si>
  <si>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</si>
  <si>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</si>
  <si>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</si>
  <si>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</si>
  <si>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</si>
  <si>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</si>
  <si>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</si>
  <si>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</si>
  <si>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</si>
  <si>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</si>
  <si>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</si>
  <si>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</si>
  <si>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</si>
  <si>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</si>
  <si>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</si>
  <si>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</si>
  <si>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</si>
  <si>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</si>
  <si>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</si>
  <si>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</si>
  <si>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</si>
  <si>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</si>
  <si>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</si>
  <si>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</si>
  <si>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</si>
  <si>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</si>
  <si>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</si>
  <si>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</si>
  <si>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</si>
  <si>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</si>
  <si>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</si>
  <si>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</si>
  <si>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</si>
  <si>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</si>
  <si>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</si>
  <si>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</si>
  <si>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</si>
  <si>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</si>
  <si>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</si>
  <si>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</si>
  <si>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</si>
  <si>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</si>
  <si>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</si>
  <si>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</si>
  <si>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</si>
  <si>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</si>
  <si>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</si>
  <si>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</si>
  <si>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</si>
  <si>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</si>
  <si>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</si>
  <si>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</si>
  <si>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</si>
  <si>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</si>
  <si>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</si>
  <si>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</si>
  <si>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</si>
  <si>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</si>
  <si>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</si>
  <si>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</si>
  <si>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</si>
  <si>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</si>
  <si>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</si>
  <si>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</si>
  <si>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</si>
  <si>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</si>
  <si>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</si>
  <si>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</si>
  <si>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</si>
  <si>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</si>
  <si>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</si>
  <si>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</si>
  <si>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</si>
  <si>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</si>
  <si>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</si>
  <si>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</si>
  <si>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</si>
  <si>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</si>
  <si>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</si>
  <si>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</si>
  <si>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</si>
  <si>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</si>
  <si>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</si>
  <si>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</si>
  <si>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</si>
  <si>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</si>
  <si>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</si>
  <si>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</si>
  <si>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</si>
  <si>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</si>
  <si>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</si>
  <si>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</si>
  <si>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PITTSBURG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</si>
</sst>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26"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437</v>
      </c>
      <c r="C2" s="21">
        <v>437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426175.48</v>
      </c>
      <c r="G9" s="18">
        <v>9189.6200000000008</v>
      </c>
      <c r="H9" s="18"/>
      <c r="I9" s="18"/>
      <c r="J9" s="67">
        <f>SUM(I440)</f>
        <v>479193.23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9171.06</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7381.1</v>
      </c>
      <c r="G13" s="18">
        <v>1273.33</v>
      </c>
      <c r="H13" s="18">
        <v>10697.3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21.9</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2232.4899999999998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1356</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444083.63999999996</v>
      </c>
      <c r="G19" s="41">
        <f>SUM(G9:G18)</f>
        <v>12717.34</v>
      </c>
      <c r="H19" s="41">
        <f>SUM(H9:H18)</f>
        <v>10697.3</v>
      </c>
      <c r="I19" s="41">
        <f>SUM(I9:I18)</f>
        <v>0</v>
      </c>
      <c r="J19" s="41">
        <f>SUM(J9:J18)</f>
        <v>479193.23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f>10452.82-500-256.76</f>
        <v>9696.06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10321.34</v>
      </c>
      <c r="G24" s="18">
        <v>2012.21</v>
      </c>
      <c r="H24" s="18">
        <v>244.48</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2020.46+5330.32</f>
        <v>7350.78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538.93+1182.21+1047.44+4199.64</f>
        <v>6968.22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500+256.76</f>
        <v>756.76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24640.34</v>
      </c>
      <c r="G32" s="41">
        <f>SUM(G22:G31)</f>
        <v>2012.21</v>
      </c>
      <c r="H32" s="41">
        <f>SUM(H22:H31)</f>
        <v>10697.3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2232.4899999999998</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3077.12+59319.57-53924.05</f>
        <v>8472.64</v>
      </c>
      <c r="H48" s="18"/>
      <c r="I48" s="18"/>
      <c r="J48" s="13">
        <f>SUM(I460)</f>
        <v>479193.23</v>
      </c>
      <c r="K48" s="24" t="s">
        <v>288</v>
      </c>
      <c r="L48" s="24" t="s">
        <v>288</v>
      </c>
      <c r="M48" s="8"/>
      <c r="N48" s="266"/>
    </row>
    <row r="49" spans="1:14" s="3" customFormat="1" ht="12.2" customHeight="1" x14ac:dyDescent="0.15">
      <c r="A49" s="1" t="s">
        <v>859</v>
      </c>
      <c r="B49" s="2" t="s">
        <v>289</v>
      </c>
      <c r="C49" s="6">
        <v>34</v>
      </c>
      <c r="D49" s="2"/>
      <c r="E49" s="6">
        <v>753</v>
      </c>
      <c r="F49" s="18">
        <v>4124</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331618.89+2788854.9-2705154.49</f>
        <v>415319.29999999981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419443.29999999981</v>
      </c>
      <c r="G51" s="41">
        <f>SUM(G35:G50)</f>
        <v>10705.13</v>
      </c>
      <c r="H51" s="41">
        <f>SUM(H35:H50)</f>
        <v>0</v>
      </c>
      <c r="I51" s="41">
        <f>SUM(I35:I50)</f>
        <v>0</v>
      </c>
      <c r="J51" s="41">
        <f>SUM(J35:J50)</f>
        <v>479193.23</v>
      </c>
      <c r="K51" s="45" t="s">
        <v>288</v>
      </c>
      <c r="L51" s="45" t="s">
        <v>288</v>
      </c>
      <c r="N51" s="264"/>
    </row>
    <row r="52" spans="1:14" s="3" customFormat="1" ht="12.2" customHeight="1" thickTop="1" x14ac:dyDescent="0.15">
      <c r="A52" s="38" t="s">
        <v>455</v>
      </c>
      <c r="B52" s="39" t="s">
        <v>289</v>
      </c>
      <c r="C52" s="6">
        <v>37</v>
      </c>
      <c r="D52" s="39" t="s">
        <v>653</v>
      </c>
      <c r="E52" s="39"/>
      <c r="F52" s="41">
        <f>F51+F32</f>
        <v>444083.63999999984</v>
      </c>
      <c r="G52" s="41">
        <f>G51+G32</f>
        <v>12717.34</v>
      </c>
      <c r="H52" s="41">
        <f>H51+H32</f>
        <v>10697.3</v>
      </c>
      <c r="I52" s="41">
        <f>I51+I32</f>
        <v>0</v>
      </c>
      <c r="J52" s="41">
        <f>J51+J32</f>
        <v>479193.23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1686472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1686472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472503.06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472503.06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7417.48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9329.7999999999993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45755.1</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38978</v>
      </c>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2888.62+196.67</f>
        <v>3085.29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3063.79</v>
      </c>
      <c r="G110" s="18"/>
      <c r="H110" s="18">
        <v>4660.45</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90882.18</v>
      </c>
      <c r="G111" s="41">
        <f>SUM(G96:G110)</f>
        <v>9329.7999999999993</v>
      </c>
      <c r="H111" s="41">
        <f>SUM(H96:H110)</f>
        <v>4660.45</v>
      </c>
      <c r="I111" s="41">
        <f>SUM(I96:I110)</f>
        <v>0</v>
      </c>
      <c r="J111" s="41">
        <f>SUM(J96:J110)</f>
        <v>7417.48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2249857.2400000002</v>
      </c>
      <c r="G112" s="41">
        <f>G60+G111</f>
        <v>9329.7999999999993</v>
      </c>
      <c r="H112" s="41">
        <f>H60+H79+H94+H111</f>
        <v>4660.45</v>
      </c>
      <c r="I112" s="41">
        <f>I60+I111</f>
        <v>0</v>
      </c>
      <c r="J112" s="41">
        <f>J60+J111</f>
        <v>7417.48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534214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534214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665</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3800.06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318.60000000000002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641.6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4783.66</v>
      </c>
      <c r="G136" s="41">
        <f>SUM(G123:G135)</f>
        <v>641.6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538997.66</v>
      </c>
      <c r="G140" s="41">
        <f>G121+SUM(G136:G137)</f>
        <v>641.6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755</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755</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43649.75+32599.54</f>
        <v>76249.290000000008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f>244.48+1586.35+1847.19</f>
        <v>3678.02</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19348.169999999998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19348.169999999998</v>
      </c>
      <c r="H163" s="41">
        <f>SUM(H150:H162)</f>
        <v>79927.310000000012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19348.169999999998</v>
      </c>
      <c r="H170" s="41">
        <f>H147+H163+SUM(H164:H169)</f>
        <v>80682.310000000012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30000</v>
      </c>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30000</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30000</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2788854.9000000004</v>
      </c>
      <c r="G194" s="47">
        <f>G112+G140+G170+G193</f>
        <v>59319.57</v>
      </c>
      <c r="H194" s="47">
        <f>H112+H140+H170+H193</f>
        <v>85342.760000000009</v>
      </c>
      <c r="I194" s="47">
        <f>I112+I140+I170+I193</f>
        <v>0</v>
      </c>
      <c r="J194" s="47">
        <f>J112+J140+J193</f>
        <v>32417.48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405267.17</v>
      </c>
      <c r="G198" s="18">
        <v>299512.05</v>
      </c>
      <c r="H198" s="18">
        <f>9008.46+84.86+628.8</f>
        <v>9722.119999999999</v>
      </c>
      <c r="I198" s="18">
        <v>14603.42</v>
      </c>
      <c r="J198" s="18">
        <v>3484.75</v>
      </c>
      <c r="K198" s="18">
        <v>715.28</v>
      </c>
      <c r="L198" s="19">
        <f>SUM(F198:K198)</f>
        <v>733304.79</v>
      </c>
      <c r="M198" s="8"/>
      <c r="N198" s="266"/>
    </row>
    <row r="199" spans="1:14" s="3" customFormat="1" ht="12.2" customHeight="1" x14ac:dyDescent="0.15">
      <c r="A199" s="1" t="s">
        <v>439</v>
      </c>
      <c r="B199" s="2" t="s">
        <v>341</v>
      </c>
      <c r="C199" s="2" t="s">
        <v>291</v>
      </c>
      <c r="D199" s="2" t="s">
        <v>431</v>
      </c>
      <c r="E199" s="6">
        <v>1200</v>
      </c>
      <c r="F199" s="18">
        <v>89359.360000000001</v>
      </c>
      <c r="G199" s="18">
        <v>17573.259999999998</v>
      </c>
      <c r="H199" s="18"/>
      <c r="I199" s="18"/>
      <c r="J199" s="18"/>
      <c r="K199" s="18">
        <v>75</v>
      </c>
      <c r="L199" s="19">
        <f>SUM(F199:K199)</f>
        <v>107007.62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14566</v>
      </c>
      <c r="G201" s="18">
        <v>1911.77</v>
      </c>
      <c r="H201" s="18">
        <v>2460</v>
      </c>
      <c r="I201" s="18">
        <v>18.12</v>
      </c>
      <c r="J201" s="18"/>
      <c r="K201" s="18">
        <v>486</v>
      </c>
      <c r="L201" s="19">
        <f>SUM(F201:K201)</f>
        <v>19441.89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75562</v>
      </c>
      <c r="G203" s="18">
        <v>39089.01</v>
      </c>
      <c r="H203" s="18">
        <v>24753.67</v>
      </c>
      <c r="I203" s="18">
        <v>1367.1</v>
      </c>
      <c r="J203" s="18">
        <v>4948.29</v>
      </c>
      <c r="K203" s="18">
        <v>1923.4</v>
      </c>
      <c r="L203" s="19">
        <f t="shared" ref="L203:L209" si="0">SUM(F203:K203)</f>
        <v>147643.47</v>
      </c>
      <c r="M203" s="8"/>
      <c r="N203" s="266"/>
    </row>
    <row r="204" spans="1:14" s="3" customFormat="1" ht="12.2" customHeight="1" x14ac:dyDescent="0.15">
      <c r="A204" s="1" t="s">
        <v>443</v>
      </c>
      <c r="B204" s="2" t="s">
        <v>341</v>
      </c>
      <c r="C204" s="2" t="s">
        <v>295</v>
      </c>
      <c r="D204" s="2" t="s">
        <v>431</v>
      </c>
      <c r="E204" s="6">
        <v>2200</v>
      </c>
      <c r="F204" s="18">
        <v>25235</v>
      </c>
      <c r="G204" s="18">
        <v>10582.65</v>
      </c>
      <c r="H204" s="18"/>
      <c r="I204" s="18">
        <v>1275.04</v>
      </c>
      <c r="J204" s="18"/>
      <c r="K204" s="18">
        <f>1174.55+3584.7</f>
        <v>4759.25</v>
      </c>
      <c r="L204" s="19">
        <f t="shared" si="0"/>
        <v>41851.94</v>
      </c>
      <c r="M204" s="8"/>
      <c r="N204" s="266"/>
    </row>
    <row r="205" spans="1:14" s="3" customFormat="1" ht="12.2" customHeight="1" x14ac:dyDescent="0.15">
      <c r="A205" s="1" t="s">
        <v>444</v>
      </c>
      <c r="B205" s="2" t="s">
        <v>341</v>
      </c>
      <c r="C205" s="2" t="s">
        <v>296</v>
      </c>
      <c r="D205" s="2" t="s">
        <v>431</v>
      </c>
      <c r="E205" s="6">
        <v>2300</v>
      </c>
      <c r="F205" s="18">
        <v>1394.5</v>
      </c>
      <c r="G205" s="18">
        <v>106.73</v>
      </c>
      <c r="H205" s="18">
        <f>212923.99+4717.37</f>
        <v>217641.36</v>
      </c>
      <c r="I205" s="18">
        <v>908.45</v>
      </c>
      <c r="J205" s="18"/>
      <c r="K205" s="18">
        <v>5573.07</v>
      </c>
      <c r="L205" s="19">
        <f t="shared" si="0"/>
        <v>225624.11000000002</v>
      </c>
      <c r="M205" s="8"/>
      <c r="N205" s="266"/>
    </row>
    <row r="206" spans="1:14" s="3" customFormat="1" ht="12.2" customHeight="1" x14ac:dyDescent="0.15">
      <c r="A206" s="1" t="s">
        <v>445</v>
      </c>
      <c r="B206" s="2" t="s">
        <v>341</v>
      </c>
      <c r="C206" s="2" t="s">
        <v>297</v>
      </c>
      <c r="D206" s="2" t="s">
        <v>431</v>
      </c>
      <c r="E206" s="6">
        <v>2400</v>
      </c>
      <c r="F206" s="18">
        <v>61583.32</v>
      </c>
      <c r="G206" s="18">
        <v>25126.48</v>
      </c>
      <c r="H206" s="18">
        <f>210+140.04+5794.62</f>
        <v>6144.66</v>
      </c>
      <c r="I206" s="18">
        <v>2241.37</v>
      </c>
      <c r="J206" s="18">
        <v>89.15</v>
      </c>
      <c r="K206" s="18">
        <v>280</v>
      </c>
      <c r="L206" s="19">
        <f t="shared" si="0"/>
        <v>95464.98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39145.97</v>
      </c>
      <c r="G208" s="18">
        <v>19874.64</v>
      </c>
      <c r="H208" s="18">
        <f>18022.31+28674.06+14101.6</f>
        <v>60797.97</v>
      </c>
      <c r="I208" s="18">
        <v>65380.78</v>
      </c>
      <c r="J208" s="18">
        <v>1667.87</v>
      </c>
      <c r="K208" s="18">
        <v>691.92</v>
      </c>
      <c r="L208" s="19">
        <f t="shared" si="0"/>
        <v>187559.15</v>
      </c>
      <c r="M208" s="8"/>
      <c r="N208" s="266"/>
    </row>
    <row r="209" spans="1:14" s="3" customFormat="1" ht="12.2" customHeight="1" x14ac:dyDescent="0.15">
      <c r="A209" s="1" t="s">
        <v>448</v>
      </c>
      <c r="B209" s="2" t="s">
        <v>341</v>
      </c>
      <c r="C209" s="2" t="s">
        <v>300</v>
      </c>
      <c r="D209" s="2" t="s">
        <v>431</v>
      </c>
      <c r="E209" s="6">
        <v>2700</v>
      </c>
      <c r="F209" s="18">
        <v>23565.599999999999</v>
      </c>
      <c r="G209" s="18">
        <v>4106.12</v>
      </c>
      <c r="H209" s="18">
        <f>5208.35+2478.6</f>
        <v>7686.9500000000007</v>
      </c>
      <c r="I209" s="18">
        <v>6886.39</v>
      </c>
      <c r="J209" s="18"/>
      <c r="K209" s="18">
        <v>506.44</v>
      </c>
      <c r="L209" s="19">
        <f t="shared" si="0"/>
        <v>42751.5</v>
      </c>
      <c r="M209" s="8"/>
      <c r="N209" s="266"/>
    </row>
    <row r="210" spans="1:14" s="3" customFormat="1" ht="12.2" customHeight="1" x14ac:dyDescent="0.15">
      <c r="A210" s="1" t="s">
        <v>449</v>
      </c>
      <c r="B210" s="2" t="s">
        <v>341</v>
      </c>
      <c r="C210" s="2" t="s">
        <v>343</v>
      </c>
      <c r="D210" s="2" t="s">
        <v>431</v>
      </c>
      <c r="E210" s="6">
        <v>2800</v>
      </c>
      <c r="F210" s="18"/>
      <c r="G210" s="18"/>
      <c r="H210" s="18">
        <v>3519.23</v>
      </c>
      <c r="I210" s="18"/>
      <c r="J210" s="18"/>
      <c r="K210" s="18"/>
      <c r="L210" s="19">
        <f>SUM(F210:K210)</f>
        <v>3519.23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735678.91999999993</v>
      </c>
      <c r="G212" s="41">
        <f t="shared" si="1"/>
        <v>417882.71</v>
      </c>
      <c r="H212" s="41">
        <f t="shared" si="1"/>
        <v>332725.95999999996</v>
      </c>
      <c r="I212" s="41">
        <f t="shared" si="1"/>
        <v>92680.67</v>
      </c>
      <c r="J212" s="41">
        <f t="shared" si="1"/>
        <v>10190.060000000001</v>
      </c>
      <c r="K212" s="41">
        <f t="shared" si="1"/>
        <v>15010.36</v>
      </c>
      <c r="L212" s="41">
        <f t="shared" si="1"/>
        <v>1604168.68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310630.32</v>
      </c>
      <c r="G234" s="18">
        <v>171345.66</v>
      </c>
      <c r="H234" s="18">
        <f>786.91+344.2</f>
        <v>1131.1099999999999</v>
      </c>
      <c r="I234" s="18">
        <v>6719.42</v>
      </c>
      <c r="J234" s="18">
        <v>3228.35</v>
      </c>
      <c r="K234" s="18">
        <v>213.02</v>
      </c>
      <c r="L234" s="19">
        <f>SUM(F234:K234)</f>
        <v>493267.87999999995</v>
      </c>
      <c r="M234" s="8"/>
      <c r="N234" s="266"/>
    </row>
    <row r="235" spans="1:14" s="3" customFormat="1" ht="12.2" customHeight="1" x14ac:dyDescent="0.15">
      <c r="A235" s="1" t="s">
        <v>439</v>
      </c>
      <c r="B235" s="2" t="s">
        <v>350</v>
      </c>
      <c r="C235" s="2" t="s">
        <v>291</v>
      </c>
      <c r="D235" s="2" t="s">
        <v>431</v>
      </c>
      <c r="E235" s="6">
        <v>1200</v>
      </c>
      <c r="F235" s="18">
        <v>12060.83</v>
      </c>
      <c r="G235" s="18">
        <v>5600.5</v>
      </c>
      <c r="H235" s="18"/>
      <c r="I235" s="18"/>
      <c r="J235" s="18"/>
      <c r="K235" s="18"/>
      <c r="L235" s="19">
        <f>SUM(F235:K235)</f>
        <v>17661.330000000002</v>
      </c>
      <c r="M235" s="8"/>
      <c r="N235" s="266"/>
    </row>
    <row r="236" spans="1:14" s="3" customFormat="1" ht="12.2" customHeight="1" x14ac:dyDescent="0.15">
      <c r="A236" s="1" t="s">
        <v>440</v>
      </c>
      <c r="B236" s="2" t="s">
        <v>350</v>
      </c>
      <c r="C236" s="2" t="s">
        <v>292</v>
      </c>
      <c r="D236" s="2" t="s">
        <v>431</v>
      </c>
      <c r="E236" s="6">
        <v>1300</v>
      </c>
      <c r="F236" s="18"/>
      <c r="G236" s="18"/>
      <c r="H236" s="18">
        <v>320</v>
      </c>
      <c r="I236" s="18"/>
      <c r="J236" s="18"/>
      <c r="K236" s="18"/>
      <c r="L236" s="19">
        <f>SUM(F236:K236)</f>
        <v>320</v>
      </c>
      <c r="M236" s="8"/>
      <c r="N236" s="266"/>
    </row>
    <row r="237" spans="1:14" s="3" customFormat="1" ht="12.2" customHeight="1" x14ac:dyDescent="0.15">
      <c r="A237" s="1" t="s">
        <v>441</v>
      </c>
      <c r="B237" s="2" t="s">
        <v>350</v>
      </c>
      <c r="C237" s="2" t="s">
        <v>293</v>
      </c>
      <c r="D237" s="2" t="s">
        <v>431</v>
      </c>
      <c r="E237" s="6">
        <v>1400</v>
      </c>
      <c r="F237" s="18">
        <v>12841</v>
      </c>
      <c r="G237" s="18">
        <v>2208.4</v>
      </c>
      <c r="H237" s="18">
        <f>27381.24+4345.89</f>
        <v>31727.13</v>
      </c>
      <c r="I237" s="18">
        <v>1567.47</v>
      </c>
      <c r="J237" s="18">
        <v>4724.5</v>
      </c>
      <c r="K237" s="18">
        <v>6341.72</v>
      </c>
      <c r="L237" s="19">
        <f>SUM(F237:K237)</f>
        <v>59410.22</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47148.72</v>
      </c>
      <c r="G239" s="18">
        <v>32095.01</v>
      </c>
      <c r="H239" s="18">
        <v>21759.95</v>
      </c>
      <c r="I239" s="18">
        <v>132.75</v>
      </c>
      <c r="J239" s="18">
        <v>4458.45</v>
      </c>
      <c r="K239" s="18">
        <v>1163.1199999999999</v>
      </c>
      <c r="L239" s="19">
        <f t="shared" ref="L239:L245" si="4">SUM(F239:K239)</f>
        <v>106757.99999999999</v>
      </c>
      <c r="M239" s="8"/>
      <c r="N239" s="266"/>
    </row>
    <row r="240" spans="1:14" s="3" customFormat="1" ht="12.2" customHeight="1" x14ac:dyDescent="0.15">
      <c r="A240" s="1" t="s">
        <v>443</v>
      </c>
      <c r="B240" s="2" t="s">
        <v>350</v>
      </c>
      <c r="C240" s="2" t="s">
        <v>295</v>
      </c>
      <c r="D240" s="2" t="s">
        <v>431</v>
      </c>
      <c r="E240" s="6">
        <v>2200</v>
      </c>
      <c r="F240" s="18">
        <v>339</v>
      </c>
      <c r="G240" s="18">
        <v>1508.28</v>
      </c>
      <c r="H240" s="18"/>
      <c r="I240" s="18">
        <v>1007.31</v>
      </c>
      <c r="J240" s="18"/>
      <c r="K240" s="18">
        <f>1507.5+1536.3</f>
        <v>3043.8</v>
      </c>
      <c r="L240" s="19">
        <f t="shared" si="4"/>
        <v>5898.39</v>
      </c>
      <c r="M240" s="8"/>
      <c r="N240" s="266"/>
    </row>
    <row r="241" spans="1:14" s="3" customFormat="1" ht="12.2" customHeight="1" x14ac:dyDescent="0.15">
      <c r="A241" s="1" t="s">
        <v>444</v>
      </c>
      <c r="B241" s="2" t="s">
        <v>350</v>
      </c>
      <c r="C241" s="2" t="s">
        <v>296</v>
      </c>
      <c r="D241" s="2" t="s">
        <v>431</v>
      </c>
      <c r="E241" s="6">
        <v>2300</v>
      </c>
      <c r="F241" s="18">
        <v>1394.6</v>
      </c>
      <c r="G241" s="18">
        <v>106.61</v>
      </c>
      <c r="H241" s="18">
        <f>91866.14+1670.66</f>
        <v>93536.8</v>
      </c>
      <c r="I241" s="18">
        <v>389.35</v>
      </c>
      <c r="J241" s="18"/>
      <c r="K241" s="18">
        <v>2487.23</v>
      </c>
      <c r="L241" s="19">
        <f t="shared" si="4"/>
        <v>97914.590000000011</v>
      </c>
      <c r="M241" s="8"/>
      <c r="N241" s="266"/>
    </row>
    <row r="242" spans="1:14" s="3" customFormat="1" ht="12.2" customHeight="1" x14ac:dyDescent="0.15">
      <c r="A242" s="1" t="s">
        <v>445</v>
      </c>
      <c r="B242" s="2" t="s">
        <v>350</v>
      </c>
      <c r="C242" s="2" t="s">
        <v>297</v>
      </c>
      <c r="D242" s="2" t="s">
        <v>431</v>
      </c>
      <c r="E242" s="6">
        <v>2400</v>
      </c>
      <c r="F242" s="18">
        <v>74570.2</v>
      </c>
      <c r="G242" s="18">
        <v>28441.33</v>
      </c>
      <c r="H242" s="18">
        <f>90+140.03+2486.62</f>
        <v>2716.65</v>
      </c>
      <c r="I242" s="18">
        <v>2174.4899999999998</v>
      </c>
      <c r="J242" s="18">
        <v>38.200000000000003</v>
      </c>
      <c r="K242" s="18">
        <v>1062</v>
      </c>
      <c r="L242" s="19">
        <f t="shared" si="4"/>
        <v>109002.87</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39141.199999999997</v>
      </c>
      <c r="G244" s="18">
        <v>19954.439999999999</v>
      </c>
      <c r="H244" s="18">
        <f>13738.87+14691.32+23.4</f>
        <v>28453.590000000004</v>
      </c>
      <c r="I244" s="18">
        <v>25964.61</v>
      </c>
      <c r="J244" s="18">
        <v>714.95</v>
      </c>
      <c r="K244" s="18">
        <v>296.52999999999997</v>
      </c>
      <c r="L244" s="19">
        <f t="shared" si="4"/>
        <v>114525.32</v>
      </c>
      <c r="M244" s="8"/>
      <c r="N244" s="266"/>
    </row>
    <row r="245" spans="1:14" s="3" customFormat="1" ht="12.2" customHeight="1" x14ac:dyDescent="0.15">
      <c r="A245" s="1" t="s">
        <v>448</v>
      </c>
      <c r="B245" s="2" t="s">
        <v>350</v>
      </c>
      <c r="C245" s="2" t="s">
        <v>300</v>
      </c>
      <c r="D245" s="2" t="s">
        <v>431</v>
      </c>
      <c r="E245" s="6">
        <v>2700</v>
      </c>
      <c r="F245" s="18">
        <v>29865</v>
      </c>
      <c r="G245" s="18">
        <v>4430.04</v>
      </c>
      <c r="H245" s="18">
        <f>2232.15+5.4</f>
        <v>2237.5500000000002</v>
      </c>
      <c r="I245" s="18">
        <v>2958.7</v>
      </c>
      <c r="J245" s="18"/>
      <c r="K245" s="18">
        <v>227.75</v>
      </c>
      <c r="L245" s="19">
        <f t="shared" si="4"/>
        <v>39719.040000000001</v>
      </c>
      <c r="M245" s="8"/>
      <c r="N245" s="266"/>
    </row>
    <row r="246" spans="1:14" s="3" customFormat="1" ht="12.2" customHeight="1" x14ac:dyDescent="0.15">
      <c r="A246" s="1" t="s">
        <v>449</v>
      </c>
      <c r="B246" s="2" t="s">
        <v>350</v>
      </c>
      <c r="C246" s="2" t="s">
        <v>343</v>
      </c>
      <c r="D246" s="2" t="s">
        <v>431</v>
      </c>
      <c r="E246" s="6">
        <v>2800</v>
      </c>
      <c r="F246" s="18"/>
      <c r="G246" s="18"/>
      <c r="H246" s="18">
        <v>1508.17</v>
      </c>
      <c r="I246" s="18"/>
      <c r="J246" s="18"/>
      <c r="K246" s="18"/>
      <c r="L246" s="19">
        <f>SUM(F246:K246)</f>
        <v>1508.17</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527990.87</v>
      </c>
      <c r="G248" s="41">
        <f t="shared" si="5"/>
        <v>265690.26999999996</v>
      </c>
      <c r="H248" s="41">
        <f t="shared" si="5"/>
        <v>183390.94999999998</v>
      </c>
      <c r="I248" s="41">
        <f t="shared" si="5"/>
        <v>40914.1</v>
      </c>
      <c r="J248" s="41">
        <f t="shared" si="5"/>
        <v>13164.45</v>
      </c>
      <c r="K248" s="41">
        <f t="shared" si="5"/>
        <v>14835.17</v>
      </c>
      <c r="L248" s="41">
        <f t="shared" si="5"/>
        <v>1045985.8099999999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1263669.79</v>
      </c>
      <c r="G258" s="41">
        <f t="shared" si="8"/>
        <v>683572.98</v>
      </c>
      <c r="H258" s="41">
        <f t="shared" si="8"/>
        <v>516116.90999999992</v>
      </c>
      <c r="I258" s="41">
        <f t="shared" si="8"/>
        <v>133594.76999999999</v>
      </c>
      <c r="J258" s="41">
        <f t="shared" si="8"/>
        <v>23354.510000000002</v>
      </c>
      <c r="K258" s="41">
        <f t="shared" si="8"/>
        <v>29845.53</v>
      </c>
      <c r="L258" s="41">
        <f t="shared" si="8"/>
        <v>2650154.4899999998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30000</v>
      </c>
      <c r="L264" s="19">
        <f>SUM(F264:K264)</f>
        <v>30000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55000</v>
      </c>
      <c r="L271" s="41">
        <f t="shared" si="9"/>
        <v>55000</v>
      </c>
      <c r="M271" s="8"/>
      <c r="N271" s="266"/>
    </row>
    <row r="272" spans="1:14" s="34" customFormat="1" ht="12.2" customHeight="1" thickTop="1" x14ac:dyDescent="0.2">
      <c r="A272" s="43" t="s">
        <v>464</v>
      </c>
      <c r="B272" s="40">
        <v>10</v>
      </c>
      <c r="C272" s="40">
        <v>18</v>
      </c>
      <c r="D272" s="39" t="s">
        <v>431</v>
      </c>
      <c r="E272" s="40"/>
      <c r="F272" s="42">
        <f t="shared" ref="F272:L272" si="11">F258+F271</f>
        <v>1263669.79</v>
      </c>
      <c r="G272" s="42">
        <f t="shared" si="11"/>
        <v>683572.98</v>
      </c>
      <c r="H272" s="42">
        <f t="shared" si="11"/>
        <v>516116.90999999992</v>
      </c>
      <c r="I272" s="42">
        <f t="shared" si="11"/>
        <v>133594.76999999999</v>
      </c>
      <c r="J272" s="42">
        <f t="shared" si="11"/>
        <v>23354.510000000002</v>
      </c>
      <c r="K272" s="42">
        <f t="shared" si="11"/>
        <v>84845.53</v>
      </c>
      <c r="L272" s="42">
        <f t="shared" si="11"/>
        <v>2705154.4899999998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27670</v>
      </c>
      <c r="G277" s="18">
        <v>14101.81</v>
      </c>
      <c r="H277" s="18"/>
      <c r="I277" s="18">
        <v>13576.88</v>
      </c>
      <c r="J277" s="18">
        <v>18942.47</v>
      </c>
      <c r="K277" s="18"/>
      <c r="L277" s="19">
        <f>SUM(F277:K277)</f>
        <v>74291.16</v>
      </c>
      <c r="M277" s="8"/>
      <c r="N277" s="266"/>
    </row>
    <row r="278" spans="1:14" s="3" customFormat="1" ht="12.2" customHeight="1" x14ac:dyDescent="0.15">
      <c r="A278" s="1" t="s">
        <v>439</v>
      </c>
      <c r="B278" s="2" t="s">
        <v>357</v>
      </c>
      <c r="C278" s="2" t="s">
        <v>291</v>
      </c>
      <c r="D278" s="2" t="s">
        <v>431</v>
      </c>
      <c r="E278" s="6">
        <v>1200</v>
      </c>
      <c r="F278" s="18"/>
      <c r="G278" s="18"/>
      <c r="H278" s="18"/>
      <c r="I278" s="18"/>
      <c r="J278" s="18">
        <v>104.98</v>
      </c>
      <c r="K278" s="18"/>
      <c r="L278" s="19">
        <f>SUM(F278:K278)</f>
        <v>104.98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139.5</v>
      </c>
      <c r="J282" s="18"/>
      <c r="K282" s="18"/>
      <c r="L282" s="19">
        <f t="shared" ref="L282:L288" si="12">SUM(F282:K282)</f>
        <v>139.5</v>
      </c>
      <c r="M282" s="8"/>
      <c r="N282" s="266"/>
    </row>
    <row r="283" spans="1:14" s="3" customFormat="1" ht="12.2" customHeight="1" x14ac:dyDescent="0.15">
      <c r="A283" s="1" t="s">
        <v>443</v>
      </c>
      <c r="B283" s="2" t="s">
        <v>357</v>
      </c>
      <c r="C283" s="2" t="s">
        <v>295</v>
      </c>
      <c r="D283" s="2" t="s">
        <v>431</v>
      </c>
      <c r="E283" s="6">
        <v>2200</v>
      </c>
      <c r="F283" s="18"/>
      <c r="G283" s="18"/>
      <c r="H283" s="18">
        <f>2800+205.87</f>
        <v>3005.87</v>
      </c>
      <c r="I283" s="18"/>
      <c r="J283" s="18"/>
      <c r="K283" s="18">
        <v>1311</v>
      </c>
      <c r="L283" s="19">
        <f t="shared" si="12"/>
        <v>4316.87</v>
      </c>
      <c r="M283" s="8"/>
      <c r="N283" s="266"/>
    </row>
    <row r="284" spans="1:14" s="3" customFormat="1" ht="12.2" customHeight="1" x14ac:dyDescent="0.15">
      <c r="A284" s="1" t="s">
        <v>444</v>
      </c>
      <c r="B284" s="2" t="s">
        <v>357</v>
      </c>
      <c r="C284" s="2" t="s">
        <v>296</v>
      </c>
      <c r="D284" s="2" t="s">
        <v>431</v>
      </c>
      <c r="E284" s="6">
        <v>2300</v>
      </c>
      <c r="F284" s="18">
        <v>1500</v>
      </c>
      <c r="G284" s="18">
        <v>377.94</v>
      </c>
      <c r="H284" s="18"/>
      <c r="I284" s="18"/>
      <c r="J284" s="18"/>
      <c r="K284" s="18"/>
      <c r="L284" s="19">
        <f t="shared" si="12"/>
        <v>1877.94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29170</v>
      </c>
      <c r="G291" s="42">
        <f t="shared" si="13"/>
        <v>14479.75</v>
      </c>
      <c r="H291" s="42">
        <f t="shared" si="13"/>
        <v>3005.87</v>
      </c>
      <c r="I291" s="42">
        <f t="shared" si="13"/>
        <v>13716.38</v>
      </c>
      <c r="J291" s="42">
        <f t="shared" si="13"/>
        <v>19047.45</v>
      </c>
      <c r="K291" s="42">
        <f t="shared" si="13"/>
        <v>1311</v>
      </c>
      <c r="L291" s="41">
        <f t="shared" si="13"/>
        <v>80730.45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v>1637.12</v>
      </c>
      <c r="J315" s="18">
        <v>1889.87</v>
      </c>
      <c r="K315" s="18"/>
      <c r="L315" s="19">
        <f>SUM(F315:K315)</f>
        <v>3526.99</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v>130</v>
      </c>
      <c r="G321" s="18">
        <v>33.090000000000003</v>
      </c>
      <c r="H321" s="18">
        <v>88.23</v>
      </c>
      <c r="I321" s="18"/>
      <c r="J321" s="18"/>
      <c r="K321" s="18">
        <v>834</v>
      </c>
      <c r="L321" s="19">
        <f t="shared" si="16"/>
        <v>1085.32</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130</v>
      </c>
      <c r="G329" s="42">
        <f t="shared" si="17"/>
        <v>33.090000000000003</v>
      </c>
      <c r="H329" s="42">
        <f t="shared" si="17"/>
        <v>88.23</v>
      </c>
      <c r="I329" s="42">
        <f t="shared" si="17"/>
        <v>1637.12</v>
      </c>
      <c r="J329" s="42">
        <f t="shared" si="17"/>
        <v>1889.87</v>
      </c>
      <c r="K329" s="42">
        <f t="shared" si="17"/>
        <v>834</v>
      </c>
      <c r="L329" s="41">
        <f t="shared" si="17"/>
        <v>4612.3099999999995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29300</v>
      </c>
      <c r="G339" s="41">
        <f t="shared" si="20"/>
        <v>14512.84</v>
      </c>
      <c r="H339" s="41">
        <f t="shared" si="20"/>
        <v>3094.1</v>
      </c>
      <c r="I339" s="41">
        <f t="shared" si="20"/>
        <v>15353.5</v>
      </c>
      <c r="J339" s="41">
        <f t="shared" si="20"/>
        <v>20937.32</v>
      </c>
      <c r="K339" s="41">
        <f t="shared" si="20"/>
        <v>2145</v>
      </c>
      <c r="L339" s="41">
        <f t="shared" si="20"/>
        <v>85342.76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29300</v>
      </c>
      <c r="G353" s="41">
        <f>G339</f>
        <v>14512.84</v>
      </c>
      <c r="H353" s="41">
        <f>H339</f>
        <v>3094.1</v>
      </c>
      <c r="I353" s="41">
        <f>I339</f>
        <v>15353.5</v>
      </c>
      <c r="J353" s="41">
        <f>J339</f>
        <v>20937.32</v>
      </c>
      <c r="K353" s="47">
        <f>K339+K352</f>
        <v>2145</v>
      </c>
      <c r="L353" s="41">
        <f>L339+L352</f>
        <v>85342.76</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297.91000000000003</v>
      </c>
      <c r="G359" s="18">
        <v>22.79</v>
      </c>
      <c r="H359" s="18">
        <f>1601.78+31279.01</f>
        <v>32880.79</v>
      </c>
      <c r="I359" s="18">
        <v>2565.41</v>
      </c>
      <c r="J359" s="18"/>
      <c r="K359" s="18">
        <v>2041.63</v>
      </c>
      <c r="L359" s="13">
        <f>SUM(F359:K359)</f>
        <v>37808.529999999992</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v>146.25</v>
      </c>
      <c r="G361" s="18">
        <v>11.19</v>
      </c>
      <c r="H361" s="18">
        <f>581.47+13405.29</f>
        <v>13986.76</v>
      </c>
      <c r="I361" s="18">
        <v>1096.33</v>
      </c>
      <c r="J361" s="18"/>
      <c r="K361" s="18">
        <v>874.99</v>
      </c>
      <c r="L361" s="19">
        <f>SUM(F361:K361)</f>
        <v>16115.52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444.16</v>
      </c>
      <c r="G363" s="47">
        <f t="shared" si="22"/>
        <v>33.979999999999997</v>
      </c>
      <c r="H363" s="47">
        <f t="shared" si="22"/>
        <v>46867.55</v>
      </c>
      <c r="I363" s="47">
        <f t="shared" si="22"/>
        <v>3661.74</v>
      </c>
      <c r="J363" s="47">
        <f t="shared" si="22"/>
        <v>0</v>
      </c>
      <c r="K363" s="47">
        <f t="shared" si="22"/>
        <v>2916.62</v>
      </c>
      <c r="L363" s="47">
        <f t="shared" si="22"/>
        <v>53924.049999999988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0</v>
      </c>
      <c r="G368" s="18"/>
      <c r="H368" s="18">
        <v>0</v>
      </c>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2565.41</v>
      </c>
      <c r="G369" s="63">
        <v>0</v>
      </c>
      <c r="H369" s="63">
        <v>1096.33</v>
      </c>
      <c r="I369" s="56">
        <f>SUM(F369:H369)</f>
        <v>3661.74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2565.41</v>
      </c>
      <c r="G370" s="47">
        <f>SUM(G368:G369)</f>
        <v>0</v>
      </c>
      <c r="H370" s="47">
        <f>SUM(H368:H369)</f>
        <v>1096.33</v>
      </c>
      <c r="I370" s="47">
        <f>SUM(I368:I369)</f>
        <v>3661.74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f>440.06+56.52+936.41</f>
        <v>1432.99</v>
      </c>
      <c r="I397" s="18"/>
      <c r="J397" s="24" t="s">
        <v>288</v>
      </c>
      <c r="K397" s="24" t="s">
        <v>288</v>
      </c>
      <c r="L397" s="56">
        <f t="shared" si="26"/>
        <v>1432.99</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1457.57</v>
      </c>
      <c r="I399" s="18"/>
      <c r="J399" s="24" t="s">
        <v>288</v>
      </c>
      <c r="K399" s="24" t="s">
        <v>288</v>
      </c>
      <c r="L399" s="56">
        <f t="shared" si="26"/>
        <v>1457.57</v>
      </c>
      <c r="M399" s="8"/>
      <c r="N399" s="266"/>
    </row>
    <row r="400" spans="1:14" s="3" customFormat="1" ht="12.2" customHeight="1" x14ac:dyDescent="0.15">
      <c r="A400" s="79" t="s">
        <v>559</v>
      </c>
      <c r="B400" s="2" t="s">
        <v>381</v>
      </c>
      <c r="C400" s="6">
        <v>12</v>
      </c>
      <c r="D400" s="2" t="s">
        <v>432</v>
      </c>
      <c r="E400" s="6"/>
      <c r="F400" s="18"/>
      <c r="G400" s="18"/>
      <c r="H400" s="18">
        <v>236.34</v>
      </c>
      <c r="I400" s="18"/>
      <c r="J400" s="24" t="s">
        <v>288</v>
      </c>
      <c r="K400" s="24" t="s">
        <v>288</v>
      </c>
      <c r="L400" s="56">
        <f t="shared" si="26"/>
        <v>236.34</v>
      </c>
      <c r="M400" s="8"/>
      <c r="N400" s="266"/>
    </row>
    <row r="401" spans="1:21" s="3" customFormat="1" ht="12.2" customHeight="1" thickBot="1" x14ac:dyDescent="0.2">
      <c r="A401" s="79" t="s">
        <v>510</v>
      </c>
      <c r="B401" s="2" t="s">
        <v>381</v>
      </c>
      <c r="C401" s="6">
        <v>13</v>
      </c>
      <c r="D401" s="2" t="s">
        <v>432</v>
      </c>
      <c r="E401" s="6"/>
      <c r="F401" s="18"/>
      <c r="G401" s="18">
        <v>25000</v>
      </c>
      <c r="H401" s="18">
        <f>109.35+81.55+1.84+60.145+12.77+3975.68+49.25-0.01</f>
        <v>4290.5749999999998</v>
      </c>
      <c r="I401" s="18"/>
      <c r="J401" s="24" t="s">
        <v>288</v>
      </c>
      <c r="K401" s="24" t="s">
        <v>288</v>
      </c>
      <c r="L401" s="56">
        <f t="shared" si="26"/>
        <v>29290.575000000001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7417.4750000000004</v>
      </c>
      <c r="I402" s="47">
        <f>SUM(I396:I401)</f>
        <v>0</v>
      </c>
      <c r="J402" s="45" t="s">
        <v>288</v>
      </c>
      <c r="K402" s="45" t="s">
        <v>288</v>
      </c>
      <c r="L402" s="47">
        <f>SUM(L396:L401)</f>
        <v>32417.475000000002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7417.4750000000004</v>
      </c>
      <c r="I409" s="47">
        <f>I394+I402+I408</f>
        <v>0</v>
      </c>
      <c r="J409" s="24" t="s">
        <v>288</v>
      </c>
      <c r="K409" s="24" t="s">
        <v>288</v>
      </c>
      <c r="L409" s="47">
        <f>L394+L402+L408</f>
        <v>32417.475000000002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50277</v>
      </c>
      <c r="I423" s="18"/>
      <c r="J423" s="18"/>
      <c r="K423" s="18"/>
      <c r="L423" s="56">
        <f t="shared" si="29"/>
        <v>50277</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50277</v>
      </c>
      <c r="I428" s="47">
        <f t="shared" si="30"/>
        <v>0</v>
      </c>
      <c r="J428" s="47">
        <f t="shared" si="30"/>
        <v>0</v>
      </c>
      <c r="K428" s="47">
        <f t="shared" si="30"/>
        <v>0</v>
      </c>
      <c r="L428" s="47">
        <f t="shared" si="30"/>
        <v>50277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50277</v>
      </c>
      <c r="I435" s="47">
        <f t="shared" si="32"/>
        <v>0</v>
      </c>
      <c r="J435" s="47">
        <f t="shared" si="32"/>
        <v>0</v>
      </c>
      <c r="K435" s="47">
        <f t="shared" si="32"/>
        <v>0</v>
      </c>
      <c r="L435" s="47">
        <f t="shared" si="32"/>
        <v>50277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479193.23</v>
      </c>
      <c r="H440" s="18"/>
      <c r="I440" s="56">
        <f t="shared" ref="I440:I446" si="33">SUM(F440:H440)</f>
        <v>479193.23</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479193.23</v>
      </c>
      <c r="H447" s="13">
        <f>SUM(H440:H446)</f>
        <v>0</v>
      </c>
      <c r="I447" s="13">
        <f>SUM(I440:I446)</f>
        <v>479193.23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479193.23</v>
      </c>
      <c r="H460" s="18"/>
      <c r="I460" s="56">
        <f t="shared" si="34"/>
        <v>479193.23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479193.23</v>
      </c>
      <c r="H461" s="83">
        <f>SUM(H455:H460)</f>
        <v>0</v>
      </c>
      <c r="I461" s="83">
        <f>SUM(I455:I460)</f>
        <v>479193.23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479193.23</v>
      </c>
      <c r="H462" s="42">
        <f>H453+H461</f>
        <v>0</v>
      </c>
      <c r="I462" s="42">
        <f>I453+I461</f>
        <v>479193.23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335742.89</v>
      </c>
      <c r="G466" s="18">
        <v>4924.58</v>
      </c>
      <c r="H466" s="18"/>
      <c r="I466" s="18"/>
      <c r="J466" s="18">
        <v>497052.75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2788854.9</v>
      </c>
      <c r="G469" s="18">
        <v>59319.57</v>
      </c>
      <c r="H469" s="18">
        <v>85342.76</v>
      </c>
      <c r="I469" s="18">
        <v>0</v>
      </c>
      <c r="J469" s="18">
        <v>32417.48</v>
      </c>
      <c r="K469" s="24" t="s">
        <v>288</v>
      </c>
      <c r="L469" s="24" t="s">
        <v>288</v>
      </c>
      <c r="N469" s="265"/>
    </row>
    <row r="470" spans="1:14" s="52" customFormat="1" ht="12.2" customHeight="1" x14ac:dyDescent="0.2">
      <c r="A470" s="93" t="s">
        <v>611</v>
      </c>
      <c r="B470" s="75">
        <v>19</v>
      </c>
      <c r="C470" s="80">
        <v>3</v>
      </c>
      <c r="D470" s="2" t="s">
        <v>432</v>
      </c>
      <c r="E470" s="80"/>
      <c r="F470" s="18"/>
      <c r="G470" s="18">
        <v>385.03</v>
      </c>
      <c r="H470" s="18"/>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2788854.9</v>
      </c>
      <c r="G471" s="53">
        <f>SUM(G469:G470)</f>
        <v>59704.6</v>
      </c>
      <c r="H471" s="53">
        <f>SUM(H469:H470)</f>
        <v>85342.76</v>
      </c>
      <c r="I471" s="53">
        <f>SUM(I469:I470)</f>
        <v>0</v>
      </c>
      <c r="J471" s="53">
        <f>SUM(J469:J470)</f>
        <v>32417.48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2705154.49</v>
      </c>
      <c r="G473" s="18">
        <v>53924.05</v>
      </c>
      <c r="H473" s="18">
        <v>85342.76</v>
      </c>
      <c r="I473" s="18"/>
      <c r="J473" s="18">
        <v>50277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2705154.49</v>
      </c>
      <c r="G475" s="53">
        <f>SUM(G473:G474)</f>
        <v>53924.05</v>
      </c>
      <c r="H475" s="53">
        <f>SUM(H473:H474)</f>
        <v>85342.76</v>
      </c>
      <c r="I475" s="53">
        <f>SUM(I473:I474)</f>
        <v>0</v>
      </c>
      <c r="J475" s="53">
        <f>SUM(J473:J474)</f>
        <v>50277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419443.29999999981</v>
      </c>
      <c r="G477" s="53">
        <f>(G466+G471)- G475</f>
        <v>10705.129999999997</v>
      </c>
      <c r="H477" s="53">
        <f>(H466+H471)- H475</f>
        <v>0</v>
      </c>
      <c r="I477" s="53">
        <f>(I466+I471)- I475</f>
        <v>0</v>
      </c>
      <c r="J477" s="53">
        <f>(J466+J471)- J475</f>
        <v>479193.23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89359.360000000001</v>
      </c>
      <c r="G522" s="18">
        <v>17573.259999999998</v>
      </c>
      <c r="H522" s="18"/>
      <c r="I522" s="18"/>
      <c r="J522" s="18">
        <v>104.98</v>
      </c>
      <c r="K522" s="18">
        <v>75</v>
      </c>
      <c r="L522" s="88">
        <f>SUM(F522:K522)</f>
        <v>107112.59999999999</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12060.83</v>
      </c>
      <c r="G524" s="18">
        <v>5600.5</v>
      </c>
      <c r="H524" s="18"/>
      <c r="I524" s="18"/>
      <c r="J524" s="18"/>
      <c r="K524" s="18"/>
      <c r="L524" s="88">
        <f>SUM(F524:K524)</f>
        <v>17661.330000000002</v>
      </c>
      <c r="N524" s="265"/>
    </row>
    <row r="525" spans="1:14" s="52" customFormat="1" ht="12.2" customHeight="1" thickTop="1" x14ac:dyDescent="0.2">
      <c r="A525" s="139" t="s">
        <v>63</v>
      </c>
      <c r="B525" s="107">
        <v>21</v>
      </c>
      <c r="C525" s="195">
        <v>4</v>
      </c>
      <c r="D525" s="196" t="s">
        <v>432</v>
      </c>
      <c r="E525" s="195"/>
      <c r="F525" s="108">
        <f>SUM(F522:F524)</f>
        <v>101420.19</v>
      </c>
      <c r="G525" s="108">
        <f t="shared" ref="G525:L525" si="36">SUM(G522:G524)</f>
        <v>23173.759999999998</v>
      </c>
      <c r="H525" s="108">
        <f t="shared" si="36"/>
        <v>0</v>
      </c>
      <c r="I525" s="108">
        <f t="shared" si="36"/>
        <v>0</v>
      </c>
      <c r="J525" s="108">
        <f t="shared" si="36"/>
        <v>104.98</v>
      </c>
      <c r="K525" s="108">
        <f t="shared" si="36"/>
        <v>75</v>
      </c>
      <c r="L525" s="89">
        <f t="shared" si="36"/>
        <v>124773.93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14937.19</v>
      </c>
      <c r="G527" s="18">
        <v>1142.74</v>
      </c>
      <c r="H527" s="18">
        <f>14401.15+12830</f>
        <v>27231.15</v>
      </c>
      <c r="I527" s="18">
        <f>527.56+139.5</f>
        <v>667.06</v>
      </c>
      <c r="J527" s="18">
        <v>348.95</v>
      </c>
      <c r="K527" s="18"/>
      <c r="L527" s="88">
        <f>SUM(F527:K527)</f>
        <v>44327.09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20006.8+5499</f>
        <v>25505.8</v>
      </c>
      <c r="I529" s="18"/>
      <c r="J529" s="18"/>
      <c r="K529" s="18"/>
      <c r="L529" s="88">
        <f>SUM(F529:K529)</f>
        <v>25505.8</v>
      </c>
      <c r="M529" s="8"/>
      <c r="N529" s="266"/>
    </row>
    <row r="530" spans="1:14" s="3" customFormat="1" ht="12.2" customHeight="1" thickTop="1" x14ac:dyDescent="0.15">
      <c r="A530" s="139" t="s">
        <v>65</v>
      </c>
      <c r="B530" s="107">
        <v>21</v>
      </c>
      <c r="C530" s="107">
        <v>8</v>
      </c>
      <c r="D530" s="158" t="s">
        <v>432</v>
      </c>
      <c r="E530" s="107"/>
      <c r="F530" s="89">
        <f>SUM(F527:F529)</f>
        <v>14937.19</v>
      </c>
      <c r="G530" s="89">
        <f t="shared" ref="G530:L530" si="37">SUM(G527:G529)</f>
        <v>1142.74</v>
      </c>
      <c r="H530" s="89">
        <f t="shared" si="37"/>
        <v>52736.95</v>
      </c>
      <c r="I530" s="89">
        <f t="shared" si="37"/>
        <v>667.06</v>
      </c>
      <c r="J530" s="89">
        <f t="shared" si="37"/>
        <v>348.95</v>
      </c>
      <c r="K530" s="89">
        <f t="shared" si="37"/>
        <v>0</v>
      </c>
      <c r="L530" s="89">
        <f t="shared" si="37"/>
        <v>69832.89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f>36659-3739</f>
        <v>32920</v>
      </c>
      <c r="I532" s="18"/>
      <c r="J532" s="18"/>
      <c r="K532" s="18"/>
      <c r="L532" s="88">
        <f>SUM(F532:K532)</f>
        <v>32920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3739</v>
      </c>
      <c r="I534" s="18"/>
      <c r="J534" s="18"/>
      <c r="K534" s="18"/>
      <c r="L534" s="88">
        <f>SUM(F534:K534)</f>
        <v>3739</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36659</v>
      </c>
      <c r="I535" s="89">
        <f t="shared" si="38"/>
        <v>0</v>
      </c>
      <c r="J535" s="89">
        <f t="shared" si="38"/>
        <v>0</v>
      </c>
      <c r="K535" s="89">
        <f t="shared" si="38"/>
        <v>0</v>
      </c>
      <c r="L535" s="89">
        <f t="shared" si="38"/>
        <v>36659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116357.38</v>
      </c>
      <c r="G546" s="89">
        <f t="shared" ref="G546:L546" si="41">G525+G530+G535+G540+G545</f>
        <v>24316.5</v>
      </c>
      <c r="H546" s="89">
        <f t="shared" si="41"/>
        <v>89395.95</v>
      </c>
      <c r="I546" s="89">
        <f t="shared" si="41"/>
        <v>667.06</v>
      </c>
      <c r="J546" s="89">
        <f t="shared" si="41"/>
        <v>453.93</v>
      </c>
      <c r="K546" s="89">
        <f t="shared" si="41"/>
        <v>75</v>
      </c>
      <c r="L546" s="89">
        <f t="shared" si="41"/>
        <v>231265.82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107112.59999999999</v>
      </c>
      <c r="G550" s="87">
        <f>L527</f>
        <v>44327.09</v>
      </c>
      <c r="H550" s="87">
        <f>L532</f>
        <v>32920</v>
      </c>
      <c r="I550" s="87">
        <f>L537</f>
        <v>0</v>
      </c>
      <c r="J550" s="87">
        <f>L542</f>
        <v>0</v>
      </c>
      <c r="K550" s="87">
        <f>SUM(F550:J550)</f>
        <v>184359.69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17661.330000000002</v>
      </c>
      <c r="G552" s="87">
        <f>L529</f>
        <v>25505.8</v>
      </c>
      <c r="H552" s="87">
        <f>L534</f>
        <v>3739</v>
      </c>
      <c r="I552" s="87">
        <f>L539</f>
        <v>0</v>
      </c>
      <c r="J552" s="87">
        <f>L544</f>
        <v>0</v>
      </c>
      <c r="K552" s="87">
        <f>SUM(F552:J552)</f>
        <v>46906.130000000005</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124773.93</v>
      </c>
      <c r="G553" s="89">
        <f t="shared" si="42"/>
        <v>69832.89</v>
      </c>
      <c r="H553" s="89">
        <f t="shared" si="42"/>
        <v>36659</v>
      </c>
      <c r="I553" s="89">
        <f t="shared" si="42"/>
        <v>0</v>
      </c>
      <c r="J553" s="89">
        <f t="shared" si="42"/>
        <v>0</v>
      </c>
      <c r="K553" s="89">
        <f t="shared" si="42"/>
        <v>231265.82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38610.76</v>
      </c>
      <c r="I592" s="18"/>
      <c r="J592" s="18">
        <v>21622.81</v>
      </c>
      <c r="K592" s="104">
        <f t="shared" ref="K592:K598" si="48">SUM(H592:J592)</f>
        <v>60233.570000000007</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2653.66</v>
      </c>
      <c r="I595" s="18"/>
      <c r="J595" s="18">
        <v>15941.54</v>
      </c>
      <c r="K595" s="104">
        <f t="shared" si="48"/>
        <v>18595.2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1487.08</v>
      </c>
      <c r="I596" s="18"/>
      <c r="J596" s="18">
        <v>2154.69</v>
      </c>
      <c r="K596" s="104">
        <f t="shared" si="48"/>
        <v>3641.77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42751.5</v>
      </c>
      <c r="I599" s="108">
        <f>SUM(I592:I598)</f>
        <v>0</v>
      </c>
      <c r="J599" s="108">
        <f>SUM(J592:J598)</f>
        <v>39719.040000000008</v>
      </c>
      <c r="K599" s="108">
        <f>SUM(K592:K598)</f>
        <v>82470.540000000008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29237.51</f>
        <v>29237.51</v>
      </c>
      <c r="I605" s="18"/>
      <c r="J605" s="18">
        <v>15054.32</v>
      </c>
      <c r="K605" s="104">
        <f>SUM(H605:J605)</f>
        <v>44291.83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29237.51</v>
      </c>
      <c r="I606" s="108">
        <f>SUM(I603:I605)</f>
        <v>0</v>
      </c>
      <c r="J606" s="108">
        <f>SUM(J603:J605)</f>
        <v>15054.32</v>
      </c>
      <c r="K606" s="108">
        <f>SUM(K603:K605)</f>
        <v>44291.83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444083.63999999996</v>
      </c>
      <c r="H618" s="109">
        <f>SUM(F52)</f>
        <v>444083.63999999984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12717.34</v>
      </c>
      <c r="H619" s="109">
        <f>SUM(G52)</f>
        <v>12717.34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10697.3</v>
      </c>
      <c r="H620" s="109">
        <f>SUM(H52)</f>
        <v>10697.3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479193.23</v>
      </c>
      <c r="H622" s="109">
        <f>SUM(J52)</f>
        <v>479193.23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419443.29999999981</v>
      </c>
      <c r="H623" s="109">
        <f>F477</f>
        <v>419443.29999999981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10705.13</v>
      </c>
      <c r="H624" s="109">
        <f>G477</f>
        <v>10705.129999999997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479193.23</v>
      </c>
      <c r="H627" s="109">
        <f>J477</f>
        <v>479193.23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2788854.9000000004</v>
      </c>
      <c r="H628" s="104">
        <f>SUM(F469)</f>
        <v>2788854.9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59319.57</v>
      </c>
      <c r="H629" s="104">
        <f>SUM(G469)</f>
        <v>59319.57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85342.760000000009</v>
      </c>
      <c r="H630" s="104">
        <f>SUM(H469)</f>
        <v>85342.76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32417.48</v>
      </c>
      <c r="H632" s="104">
        <f>SUM(J469)</f>
        <v>32417.48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2705154.4899999998</v>
      </c>
      <c r="H633" s="104">
        <f>SUM(F473)</f>
        <v>2705154.49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85342.76</v>
      </c>
      <c r="H634" s="104">
        <f>SUM(H473)</f>
        <v>85342.76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3661.74</v>
      </c>
      <c r="H635" s="104">
        <f>I370</f>
        <v>3661.74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53924.049999999988</v>
      </c>
      <c r="H636" s="104">
        <f>SUM(G473)</f>
        <v>53924.05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32417.475000000002</v>
      </c>
      <c r="H638" s="164">
        <f>SUM(J469)</f>
        <v>32417.48</v>
      </c>
      <c r="I638" s="165" t="s">
        <v>110</v>
      </c>
      <c r="J638" s="151">
        <f t="shared" si="50"/>
        <v>-4.9999999973806553E-3</v>
      </c>
      <c r="K638" s="166"/>
      <c r="L638" s="167"/>
      <c r="M638" s="8"/>
    </row>
    <row r="639" spans="1:13" s="3" customFormat="1" ht="12.2" customHeight="1" x14ac:dyDescent="0.15">
      <c r="A639" s="161"/>
      <c r="B639" s="162"/>
      <c r="C639" s="162"/>
      <c r="D639" s="162"/>
      <c r="E639" s="162"/>
      <c r="F639" s="163" t="s">
        <v>478</v>
      </c>
      <c r="G639" s="151">
        <f>SUM(L435)</f>
        <v>50277</v>
      </c>
      <c r="H639" s="164">
        <f>SUM(J473)</f>
        <v>50277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479193.23</v>
      </c>
      <c r="H641" s="104">
        <f>SUM(G462)</f>
        <v>479193.23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479193.23</v>
      </c>
      <c r="H643" s="104">
        <f>SUM(I462)</f>
        <v>479193.23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7417.48</v>
      </c>
      <c r="H645" s="104">
        <f>H409</f>
        <v>7417.4750000000004</v>
      </c>
      <c r="I645" s="140" t="s">
        <v>480</v>
      </c>
      <c r="J645" s="109">
        <f t="shared" si="50"/>
        <v>4.9999999991996447E-3</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32417.48</v>
      </c>
      <c r="H647" s="104">
        <f>L409</f>
        <v>32417.475000000002</v>
      </c>
      <c r="I647" s="140" t="s">
        <v>477</v>
      </c>
      <c r="J647" s="109">
        <f t="shared" si="50"/>
        <v>4.9999999973806553E-3</v>
      </c>
      <c r="K647" s="85"/>
      <c r="L647" s="88"/>
      <c r="M647" s="8"/>
    </row>
    <row r="648" spans="1:13" s="3" customFormat="1" ht="12.2" customHeight="1" x14ac:dyDescent="0.15">
      <c r="A648" s="22"/>
      <c r="B648" s="105"/>
      <c r="C648" s="105"/>
      <c r="D648" s="105"/>
      <c r="E648" s="105"/>
      <c r="F648" s="120" t="s">
        <v>51</v>
      </c>
      <c r="G648" s="109">
        <f>K599</f>
        <v>82470.540000000008</v>
      </c>
      <c r="H648" s="104">
        <f>L209+L227+L245</f>
        <v>82470.540000000008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44291.83</v>
      </c>
      <c r="H649" s="104">
        <f>(J258+J339)-(J256+J337)</f>
        <v>44291.83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42751.5</v>
      </c>
      <c r="H650" s="104">
        <f>H599</f>
        <v>42751.5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39719.040000000001</v>
      </c>
      <c r="H652" s="104">
        <f>J599</f>
        <v>39719.040000000008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30000</v>
      </c>
      <c r="H653" s="104">
        <f>K264+K346</f>
        <v>30000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5.0000008195638657E-3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1722707.66</v>
      </c>
      <c r="G661" s="19">
        <f>(L230+L310+L360)</f>
        <v>0</v>
      </c>
      <c r="H661" s="19">
        <f>(L248+L329+L361)</f>
        <v>1066713.6399999999</v>
      </c>
      <c r="I661" s="19">
        <f>SUM(F661:H661)</f>
        <v>2789421.3</v>
      </c>
      <c r="J661" s="13"/>
      <c r="K661" s="13"/>
      <c r="L661" s="13"/>
      <c r="M661" s="9"/>
    </row>
    <row r="662" spans="1:13" s="3" customFormat="1" ht="12.2" customHeight="1" x14ac:dyDescent="0.2">
      <c r="A662" s="1" t="s">
        <v>127</v>
      </c>
      <c r="F662" s="19">
        <f>(L359/IF(SUM(L359:L361)=0,1,SUM(L359:L361))*(SUM(G97:G110)))</f>
        <v>6541.534309718947</v>
      </c>
      <c r="G662" s="19">
        <f>(L360/IF(SUM(L359:L361)=0,1,SUM(L359:L361))*(SUM(G97:G110)))</f>
        <v>0</v>
      </c>
      <c r="H662" s="19">
        <f>(L361/IF(SUM(L359:L361)=0,1,SUM(L359:L361))*(SUM(G97:G110)))</f>
        <v>2788.2656902810531</v>
      </c>
      <c r="I662" s="19">
        <f>SUM(F662:H662)</f>
        <v>9329.7999999999993</v>
      </c>
      <c r="J662"/>
      <c r="K662" s="13"/>
      <c r="L662" s="13"/>
      <c r="M662" s="8"/>
    </row>
    <row r="663" spans="1:13" s="3" customFormat="1" ht="12.2" customHeight="1" x14ac:dyDescent="0.2">
      <c r="A663" s="1" t="s">
        <v>128</v>
      </c>
      <c r="F663" s="19">
        <f>(L209+L288)-(J209+J288)</f>
        <v>42751.5</v>
      </c>
      <c r="G663" s="19">
        <f>(L227+L307)-(J227+J307)</f>
        <v>0</v>
      </c>
      <c r="H663" s="19">
        <f>(L245+L326)-(J245+J326)</f>
        <v>39719.040000000001</v>
      </c>
      <c r="I663" s="19">
        <f>SUM(F663:H663)</f>
        <v>82470.540000000008</v>
      </c>
      <c r="J663"/>
      <c r="K663" s="13"/>
      <c r="L663" s="13"/>
      <c r="M663" s="9"/>
    </row>
    <row r="664" spans="1:13" s="3" customFormat="1" ht="12.2" customHeight="1" x14ac:dyDescent="0.15">
      <c r="A664" s="198" t="s">
        <v>129</v>
      </c>
      <c r="B664" s="169"/>
      <c r="C664" s="169"/>
      <c r="D664" s="169"/>
      <c r="E664" s="169"/>
      <c r="F664" s="199">
        <f>SUM(F576:F588)+SUM(H603:H605)+SUM(L612)</f>
        <v>29237.51</v>
      </c>
      <c r="G664" s="199">
        <f>SUM(G576:G588)+SUM(I603:I605)+L613</f>
        <v>0</v>
      </c>
      <c r="H664" s="199">
        <f>SUM(H576:H588)+SUM(J603:J605)+L614</f>
        <v>15054.32</v>
      </c>
      <c r="I664" s="19">
        <f>SUM(F664:H664)</f>
        <v>44291.83</v>
      </c>
      <c r="J664" s="13"/>
      <c r="K664" s="13"/>
      <c r="L664" s="13"/>
      <c r="M664" s="9"/>
    </row>
    <row r="665" spans="1:13" s="3" customFormat="1" ht="12.2" customHeight="1" x14ac:dyDescent="0.15">
      <c r="A665" s="1" t="s">
        <v>130</v>
      </c>
      <c r="F665" s="19">
        <f>F661-SUM(F662:F664)</f>
        <v>1644177.1156902809</v>
      </c>
      <c r="G665" s="19">
        <f>G661-SUM(G662:G664)</f>
        <v>0</v>
      </c>
      <c r="H665" s="19">
        <f>H661-SUM(H662:H664)</f>
        <v>1009152.0143097189</v>
      </c>
      <c r="I665" s="19">
        <f>I661-SUM(I662:I664)</f>
        <v>2653329.13</v>
      </c>
      <c r="J665" s="13"/>
      <c r="K665" s="13"/>
      <c r="L665" s="13"/>
      <c r="M665" s="8"/>
    </row>
    <row r="666" spans="1:13" s="3" customFormat="1" ht="12.2" customHeight="1" x14ac:dyDescent="0.2">
      <c r="A666" s="1" t="s">
        <v>131</v>
      </c>
      <c r="F666" s="246">
        <f>0.95+5+38.29</f>
        <v>44.24</v>
      </c>
      <c r="G666" s="247"/>
      <c r="H666" s="247">
        <v>32.53</v>
      </c>
      <c r="I666" s="19">
        <f>SUM(F666:H666)</f>
        <v>76.77000000000001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37164.94</v>
      </c>
      <c r="G668" s="19" t="e">
        <f>ROUND(G665/G666,2)</f>
        <v>#DIV/0!</v>
      </c>
      <c r="H668" s="19">
        <f>ROUND(H665/H666,2)</f>
        <v>31022.2</v>
      </c>
      <c r="I668" s="19">
        <f>ROUND(I665/I666,2)</f>
        <v>34562.06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37164.94</v>
      </c>
      <c r="G673" s="19" t="e">
        <f>ROUND((G665+G670)/(G666+G671),2)</f>
        <v>#DIV/0!</v>
      </c>
      <c r="H673" s="19">
        <f>ROUND((H665+H670)/(H666+H671),2)</f>
        <v>31022.2</v>
      </c>
      <c r="I673" s="19">
        <f>ROUND((I665+I670)/(I666+I671),2)</f>
        <v>34562.06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PITTSBURG SCHOOL DISTRICT</v>
      </c>
      <c r="C5" s="344"/>
      <c r="D5" s="344"/>
      <c r="E5" s="344"/>
      <c r="F5" s="344"/>
    </row>
    <row r="8" spans="1:9" ht="18" x14ac:dyDescent="0.25">
      <c r="A8" s="323" t="s">
        <v>1591</v>
      </c>
      <c r="F8" s="330" t="s">
        <v>1609</v>
      </c>
    </row>
    <row r="9" spans="1:9" ht="15" x14ac:dyDescent="0.2">
      <c r="A9" s="321" t="s">
        <v>1592</v>
      </c>
      <c r="B9" s="324">
        <f>'DOE25'!G97</f>
        <v>9329.7999999999993</v>
      </c>
      <c r="F9" s="321" t="s">
        <v>1605</v>
      </c>
    </row>
    <row r="10" spans="1:9" ht="15" x14ac:dyDescent="0.2">
      <c r="A10" s="321" t="s">
        <v>1593</v>
      </c>
      <c r="B10" s="324">
        <f>'DOE25'!G112-'DOE25'!G97</f>
        <v>0</v>
      </c>
      <c r="F10" s="321" t="s">
        <v>1606</v>
      </c>
    </row>
    <row r="11" spans="1:9" ht="15" x14ac:dyDescent="0.2">
      <c r="A11" s="321" t="s">
        <v>1594</v>
      </c>
      <c r="B11" s="324">
        <f>'DOE25'!G140</f>
        <v>641.6</v>
      </c>
      <c r="F11" s="321" t="s">
        <v>1607</v>
      </c>
    </row>
    <row r="12" spans="1:9" ht="15" x14ac:dyDescent="0.2">
      <c r="A12" s="321" t="s">
        <v>1595</v>
      </c>
      <c r="B12" s="324">
        <f>'DOE25'!G170</f>
        <v>19348.169999999998</v>
      </c>
      <c r="F12" s="321" t="s">
        <v>1608</v>
      </c>
    </row>
    <row r="13" spans="1:9" ht="15" x14ac:dyDescent="0.2">
      <c r="A13" s="321" t="s">
        <v>1596</v>
      </c>
      <c r="B13" s="324">
        <f>'DOE25'!G193-'DOE25'!G180</f>
        <v>0</v>
      </c>
      <c r="F13" s="321" t="s">
        <v>1618</v>
      </c>
    </row>
    <row r="14" spans="1:9" ht="18" x14ac:dyDescent="0.25">
      <c r="A14" s="323" t="s">
        <v>732</v>
      </c>
      <c r="B14" s="325">
        <f>SUM(B9:B13)</f>
        <v>29319.57</v>
      </c>
    </row>
    <row r="16" spans="1:9" ht="18" x14ac:dyDescent="0.25">
      <c r="A16" s="323" t="s">
        <v>786</v>
      </c>
      <c r="F16" s="330" t="s">
        <v>1610</v>
      </c>
    </row>
    <row r="17" spans="1:6" ht="15" x14ac:dyDescent="0.2">
      <c r="A17" s="321" t="s">
        <v>1597</v>
      </c>
      <c r="B17" s="324">
        <f>'DOE25'!L363-'DOE25'!L362</f>
        <v>53924.049999999988</v>
      </c>
      <c r="F17" s="321" t="s">
        <v>1611</v>
      </c>
    </row>
    <row r="18" spans="1:6" ht="15" x14ac:dyDescent="0.2">
      <c r="A18" s="321" t="s">
        <v>1598</v>
      </c>
      <c r="B18" s="338"/>
      <c r="F18" s="330" t="s">
        <v>1637</v>
      </c>
    </row>
    <row r="19" spans="1:6" ht="18" x14ac:dyDescent="0.25">
      <c r="A19" s="323" t="s">
        <v>725</v>
      </c>
      <c r="B19" s="325">
        <f>SUM(B17:B18)</f>
        <v>53924.049999999988</v>
      </c>
    </row>
    <row r="21" spans="1:6" ht="18.75" thickBot="1" x14ac:dyDescent="0.3">
      <c r="A21" s="323" t="s">
        <v>1599</v>
      </c>
    </row>
    <row r="22" spans="1:6" ht="18.75" thickTop="1" x14ac:dyDescent="0.25">
      <c r="A22" s="323" t="s">
        <v>1600</v>
      </c>
      <c r="B22" s="329">
        <f>B14-B19</f>
        <v>-24604.479999999989</v>
      </c>
      <c r="F22" s="321" t="s">
        <v>1612</v>
      </c>
    </row>
    <row r="26" spans="1:6" ht="18" x14ac:dyDescent="0.25">
      <c r="A26" s="323" t="s">
        <v>186</v>
      </c>
    </row>
    <row r="27" spans="1:6" ht="15" x14ac:dyDescent="0.2">
      <c r="A27" s="321" t="s">
        <v>1601</v>
      </c>
      <c r="B27" s="324">
        <f>'DOE25'!G180</f>
        <v>30000</v>
      </c>
      <c r="F27" s="321" t="s">
        <v>1613</v>
      </c>
    </row>
    <row r="28" spans="1:6" ht="15" x14ac:dyDescent="0.2">
      <c r="A28" s="321" t="s">
        <v>1603</v>
      </c>
      <c r="B28" s="324">
        <f>'DOE25'!L362</f>
        <v>0</v>
      </c>
      <c r="F28" s="321" t="s">
        <v>1614</v>
      </c>
    </row>
    <row r="31" spans="1:6" ht="15" x14ac:dyDescent="0.2">
      <c r="A31" s="321" t="s">
        <v>1640</v>
      </c>
      <c r="B31" s="324">
        <f>'DOE25'!G466</f>
        <v>4924.58</v>
      </c>
      <c r="F31" s="321" t="s">
        <v>1615</v>
      </c>
    </row>
    <row r="33" spans="1:6" ht="15" x14ac:dyDescent="0.2">
      <c r="A33" s="321" t="s">
        <v>1641</v>
      </c>
      <c r="B33" s="324">
        <f>'DOE25'!G477</f>
        <v>10705.129999999997</v>
      </c>
      <c r="F33" s="321" t="s">
        <v>1616</v>
      </c>
    </row>
    <row r="36" spans="1:6" ht="15" x14ac:dyDescent="0.2">
      <c r="A36" s="321" t="s">
        <v>1602</v>
      </c>
      <c r="B36" s="339">
        <v>2600.4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PITTSBURG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743567.49</v>
      </c>
      <c r="C9" s="229">
        <f>'DOE25'!G198+'DOE25'!G216+'DOE25'!G234+'DOE25'!G277+'DOE25'!G296+'DOE25'!G315</f>
        <v>484959.51999999996</v>
      </c>
    </row>
    <row r="10" spans="1:3" x14ac:dyDescent="0.2">
      <c r="A10" t="s">
        <v>775</v>
      </c>
      <c r="B10" s="240">
        <f>686692.94+11611.85+33830.2</f>
        <v>732134.98999999987</v>
      </c>
      <c r="C10" s="240">
        <v>483513.31</v>
      </c>
    </row>
    <row r="11" spans="1:3" x14ac:dyDescent="0.2">
      <c r="A11" t="s">
        <v>776</v>
      </c>
      <c r="B11" s="240"/>
      <c r="C11" s="240"/>
    </row>
    <row r="12" spans="1:3" x14ac:dyDescent="0.2">
      <c r="A12" t="s">
        <v>777</v>
      </c>
      <c r="B12" s="240">
        <v>11432.5</v>
      </c>
      <c r="C12" s="240">
        <v>1446.21</v>
      </c>
    </row>
    <row r="13" spans="1:3" x14ac:dyDescent="0.2">
      <c r="A13" t="str">
        <f>IF(B9=B13,IF(C9=C13,"Check Total OK","Check Total Error"),"Check Total Error")</f>
        <v>Check Total OK</v>
      </c>
      <c r="B13" s="231">
        <f>SUM(B10:B12)</f>
        <v>743567.48999999987</v>
      </c>
      <c r="C13" s="231">
        <f>SUM(C10:C12)</f>
        <v>484959.52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101420.19</v>
      </c>
      <c r="C18" s="229">
        <f>'DOE25'!G199+'DOE25'!G217+'DOE25'!G235+'DOE25'!G278+'DOE25'!G297+'DOE25'!G316</f>
        <v>23173.759999999998</v>
      </c>
    </row>
    <row r="19" spans="1:3" x14ac:dyDescent="0.2">
      <c r="A19" t="s">
        <v>775</v>
      </c>
      <c r="B19" s="240">
        <f>52438+1194.5</f>
        <v>53632.5</v>
      </c>
      <c r="C19" s="240">
        <v>17128.63</v>
      </c>
    </row>
    <row r="20" spans="1:3" x14ac:dyDescent="0.2">
      <c r="A20" t="s">
        <v>776</v>
      </c>
      <c r="B20" s="240">
        <v>46315.65</v>
      </c>
      <c r="C20" s="240">
        <v>5858.93</v>
      </c>
    </row>
    <row r="21" spans="1:3" x14ac:dyDescent="0.2">
      <c r="A21" t="s">
        <v>777</v>
      </c>
      <c r="B21" s="240">
        <v>1472.04</v>
      </c>
      <c r="C21" s="240">
        <v>186.2</v>
      </c>
    </row>
    <row r="22" spans="1:3" x14ac:dyDescent="0.2">
      <c r="A22" t="str">
        <f>IF(B18=B22,IF(C18=C22,"Check Total OK","Check Total Error"),"Check Total Error")</f>
        <v>Check Total OK</v>
      </c>
      <c r="B22" s="231">
        <f>SUM(B19:B21)</f>
        <v>101420.18999999999</v>
      </c>
      <c r="C22" s="231">
        <f>SUM(C19:C21)</f>
        <v>23173.760000000002</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27407</v>
      </c>
      <c r="C36" s="235">
        <f>'DOE25'!G201+'DOE25'!G219+'DOE25'!G237+'DOE25'!G280+'DOE25'!G299+'DOE25'!G318</f>
        <v>4120.17</v>
      </c>
    </row>
    <row r="37" spans="1:3" x14ac:dyDescent="0.2">
      <c r="A37" t="s">
        <v>775</v>
      </c>
      <c r="B37" s="240"/>
      <c r="C37" s="240"/>
    </row>
    <row r="38" spans="1:3" x14ac:dyDescent="0.2">
      <c r="A38" t="s">
        <v>776</v>
      </c>
      <c r="B38" s="240"/>
      <c r="C38" s="240"/>
    </row>
    <row r="39" spans="1:3" x14ac:dyDescent="0.2">
      <c r="A39" t="s">
        <v>777</v>
      </c>
      <c r="B39" s="240">
        <v>27407</v>
      </c>
      <c r="C39" s="240">
        <v>4120.17</v>
      </c>
    </row>
    <row r="40" spans="1:3" x14ac:dyDescent="0.2">
      <c r="A40" t="str">
        <f>IF(B36=B40,IF(C36=C40,"Check Total OK","Check Total Error"),"Check Total Error")</f>
        <v>Check Total OK</v>
      </c>
      <c r="B40" s="231">
        <f>SUM(B37:B39)</f>
        <v>27407</v>
      </c>
      <c r="C40" s="231">
        <f>SUM(C37:C39)</f>
        <v>4120.17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7" sqref="D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PITTSBURG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1430413.73</v>
      </c>
      <c r="D5" s="20">
        <f>SUM('DOE25'!L198:L201)+SUM('DOE25'!L216:L219)+SUM('DOE25'!L234:L237)-F5-G5-H5</f>
        <v>1411145.1099999999</v>
      </c>
      <c r="E5" s="243"/>
      <c r="F5" s="244"/>
      <c r="G5" s="53">
        <f>SUM('DOE25'!J198:J201)+SUM('DOE25'!J216:J219)+SUM('DOE25'!J234:J237)</f>
        <v>11437.6</v>
      </c>
      <c r="H5" s="53">
        <f>SUM('DOE25'!K198:K201)+SUM('DOE25'!K216:K219)+SUM('DOE25'!K234:K237)</f>
        <v>7831.02</v>
      </c>
      <c r="I5" s="256"/>
    </row>
    <row r="6" spans="1:9" x14ac:dyDescent="0.2">
      <c r="A6" s="32">
        <v>2100</v>
      </c>
      <c r="B6" t="s">
        <v>796</v>
      </c>
      <c r="C6" s="276">
        <f t="shared" si="0"/>
        <v>254401.46999999997</v>
      </c>
      <c r="D6" s="20">
        <f>'DOE25'!L203+'DOE25'!L221+'DOE25'!L239-F6-G6-H6</f>
        <v>241908.21</v>
      </c>
      <c r="E6" s="243"/>
      <c r="F6" s="244"/>
      <c r="G6" s="53">
        <f>'DOE25'!J203+'DOE25'!J221+'DOE25'!J239</f>
        <v>9406.74</v>
      </c>
      <c r="H6" s="53">
        <f>'DOE25'!K203+'DOE25'!K221+'DOE25'!K239</f>
        <v>3086.52</v>
      </c>
      <c r="I6" s="256"/>
    </row>
    <row r="7" spans="1:9" x14ac:dyDescent="0.2">
      <c r="A7" s="32">
        <v>2200</v>
      </c>
      <c r="B7" t="s">
        <v>821</v>
      </c>
      <c r="C7" s="276">
        <f t="shared" si="0"/>
        <v>47750.33</v>
      </c>
      <c r="D7" s="20">
        <f>'DOE25'!L204+'DOE25'!L222+'DOE25'!L240-F7-G7-H7</f>
        <v>39947.279999999999</v>
      </c>
      <c r="E7" s="243"/>
      <c r="F7" s="244"/>
      <c r="G7" s="53">
        <f>'DOE25'!J204+'DOE25'!J222+'DOE25'!J240</f>
        <v>0</v>
      </c>
      <c r="H7" s="53">
        <f>'DOE25'!K204+'DOE25'!K222+'DOE25'!K240</f>
        <v>7803.05</v>
      </c>
      <c r="I7" s="256"/>
    </row>
    <row r="8" spans="1:9" x14ac:dyDescent="0.2">
      <c r="A8" s="32">
        <v>2300</v>
      </c>
      <c r="B8" t="s">
        <v>797</v>
      </c>
      <c r="C8" s="276">
        <f t="shared" si="0"/>
        <v>219882.16999999998</v>
      </c>
      <c r="D8" s="243"/>
      <c r="E8" s="20">
        <f>'DOE25'!L205+'DOE25'!L223+'DOE25'!L241-F8-G8-H8-D9-D11</f>
        <v>211821.87</v>
      </c>
      <c r="F8" s="244"/>
      <c r="G8" s="53">
        <f>'DOE25'!J205+'DOE25'!J223+'DOE25'!J241</f>
        <v>0</v>
      </c>
      <c r="H8" s="53">
        <f>'DOE25'!K205+'DOE25'!K223+'DOE25'!K241</f>
        <v>8060.2999999999993</v>
      </c>
      <c r="I8" s="256"/>
    </row>
    <row r="9" spans="1:9" ht="14.25" x14ac:dyDescent="0.2">
      <c r="A9" s="32">
        <v>2310</v>
      </c>
      <c r="B9" s="185" t="s">
        <v>890</v>
      </c>
      <c r="C9" s="276">
        <f t="shared" si="0"/>
        <v>28976.07</v>
      </c>
      <c r="D9" s="244">
        <v>28976.07</v>
      </c>
      <c r="E9" s="243"/>
      <c r="F9" s="253"/>
      <c r="G9" s="253"/>
      <c r="H9" s="253"/>
      <c r="I9" s="256"/>
    </row>
    <row r="10" spans="1:9" ht="14.25" x14ac:dyDescent="0.2">
      <c r="A10" s="32">
        <v>2317</v>
      </c>
      <c r="B10" s="185" t="s">
        <v>891</v>
      </c>
      <c r="C10" s="276">
        <f t="shared" si="0"/>
        <v>8700</v>
      </c>
      <c r="D10" s="243"/>
      <c r="E10" s="244">
        <v>8700</v>
      </c>
      <c r="F10" s="253"/>
      <c r="G10" s="253"/>
      <c r="H10" s="253"/>
      <c r="I10" s="256"/>
    </row>
    <row r="11" spans="1:9" ht="14.25" x14ac:dyDescent="0.2">
      <c r="A11" s="32">
        <v>2321</v>
      </c>
      <c r="B11" s="185" t="s">
        <v>892</v>
      </c>
      <c r="C11" s="276">
        <f t="shared" si="0"/>
        <v>74680.460000000006</v>
      </c>
      <c r="D11" s="244">
        <v>74680.460000000006</v>
      </c>
      <c r="E11" s="243"/>
      <c r="F11" s="253"/>
      <c r="G11" s="253"/>
      <c r="H11" s="253"/>
      <c r="I11" s="256"/>
    </row>
    <row r="12" spans="1:9" x14ac:dyDescent="0.2">
      <c r="A12" s="32">
        <v>2400</v>
      </c>
      <c r="B12" t="s">
        <v>711</v>
      </c>
      <c r="C12" s="276">
        <f t="shared" si="0"/>
        <v>204467.84999999998</v>
      </c>
      <c r="D12" s="20">
        <f>'DOE25'!L206+'DOE25'!L224+'DOE25'!L242-F12-G12-H12</f>
        <v>202998.49999999997</v>
      </c>
      <c r="E12" s="243"/>
      <c r="F12" s="244"/>
      <c r="G12" s="53">
        <f>'DOE25'!J206+'DOE25'!J224+'DOE25'!J242</f>
        <v>127.35000000000001</v>
      </c>
      <c r="H12" s="53">
        <f>'DOE25'!K206+'DOE25'!K224+'DOE25'!K242</f>
        <v>1342</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302084.46999999997</v>
      </c>
      <c r="D14" s="20">
        <f>'DOE25'!L208+'DOE25'!L226+'DOE25'!L244-F14-G14-H14</f>
        <v>298713.19999999995</v>
      </c>
      <c r="E14" s="243"/>
      <c r="F14" s="244"/>
      <c r="G14" s="53">
        <f>'DOE25'!J208+'DOE25'!J226+'DOE25'!J244</f>
        <v>2382.8199999999997</v>
      </c>
      <c r="H14" s="53">
        <f>'DOE25'!K208+'DOE25'!K226+'DOE25'!K244</f>
        <v>988.44999999999993</v>
      </c>
      <c r="I14" s="256"/>
    </row>
    <row r="15" spans="1:9" x14ac:dyDescent="0.2">
      <c r="A15" s="32">
        <v>2700</v>
      </c>
      <c r="B15" t="s">
        <v>799</v>
      </c>
      <c r="C15" s="276">
        <f t="shared" si="0"/>
        <v>82470.540000000008</v>
      </c>
      <c r="D15" s="20">
        <f>'DOE25'!L209+'DOE25'!L227+'DOE25'!L245-F15-G15-H15</f>
        <v>81736.350000000006</v>
      </c>
      <c r="E15" s="243"/>
      <c r="F15" s="244"/>
      <c r="G15" s="53">
        <f>'DOE25'!J209+'DOE25'!J227+'DOE25'!J245</f>
        <v>0</v>
      </c>
      <c r="H15" s="53">
        <f>'DOE25'!K209+'DOE25'!K227+'DOE25'!K245</f>
        <v>734.19</v>
      </c>
      <c r="I15" s="256"/>
    </row>
    <row r="16" spans="1:9" x14ac:dyDescent="0.2">
      <c r="A16" s="32">
        <v>2800</v>
      </c>
      <c r="B16" t="s">
        <v>800</v>
      </c>
      <c r="C16" s="276">
        <f t="shared" si="0"/>
        <v>5027.3999999999996</v>
      </c>
      <c r="D16" s="243"/>
      <c r="E16" s="20">
        <f>'DOE25'!L210+'DOE25'!L228+'DOE25'!L246-F16-G16-H16</f>
        <v>5027.3999999999996</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53924.049999999988</v>
      </c>
      <c r="D29" s="284">
        <f>'DOE25'!L359+'DOE25'!L360+'DOE25'!L361-'DOE25'!I368-F29-G29-H29</f>
        <v>44456.429999999986</v>
      </c>
      <c r="E29" s="243"/>
      <c r="F29" s="244">
        <v>6551</v>
      </c>
      <c r="G29" s="53">
        <f>'DOE25'!J359+'DOE25'!J360+'DOE25'!J361</f>
        <v>0</v>
      </c>
      <c r="H29" s="53">
        <f>'DOE25'!K359+'DOE25'!K360+'DOE25'!K361</f>
        <v>2916.62</v>
      </c>
      <c r="I29" s="256"/>
    </row>
    <row r="30" spans="1:9" x14ac:dyDescent="0.2">
      <c r="A30" s="32"/>
      <c r="C30" s="277"/>
      <c r="D30" s="20"/>
      <c r="E30" s="281"/>
      <c r="F30" s="271"/>
      <c r="G30" s="53"/>
      <c r="H30" s="53"/>
      <c r="I30" s="256"/>
    </row>
    <row r="31" spans="1:9" x14ac:dyDescent="0.2">
      <c r="A31" s="32" t="s">
        <v>818</v>
      </c>
      <c r="B31" t="s">
        <v>817</v>
      </c>
      <c r="C31" s="276">
        <f>SUM(D31:I31)</f>
        <v>85342.76</v>
      </c>
      <c r="D31" s="20">
        <f>'DOE25'!L291+'DOE25'!L310+'DOE25'!L329+'DOE25'!L334+'DOE25'!L335+'DOE25'!L336-F31-G31-H31</f>
        <v>62260.439999999995</v>
      </c>
      <c r="E31" s="243"/>
      <c r="F31" s="244"/>
      <c r="G31" s="53">
        <f>'DOE25'!J291+'DOE25'!J310+'DOE25'!J329+'DOE25'!J334+'DOE25'!J335+'DOE25'!J336</f>
        <v>20937.32</v>
      </c>
      <c r="H31" s="53">
        <f>'DOE25'!K291+'DOE25'!K310+'DOE25'!K329+'DOE25'!K334+'DOE25'!K335+'DOE25'!K336</f>
        <v>2145</v>
      </c>
      <c r="I31" s="256"/>
    </row>
    <row r="32" spans="1:9" ht="12" thickBot="1" x14ac:dyDescent="0.25">
      <c r="C32" s="277"/>
      <c r="G32" s="251"/>
      <c r="H32" s="251"/>
      <c r="I32" s="258"/>
    </row>
    <row r="33" spans="1:9" ht="12" thickTop="1" x14ac:dyDescent="0.2">
      <c r="B33" t="s">
        <v>809</v>
      </c>
      <c r="D33" s="245">
        <f t="shared" ref="D33:I33" si="1">SUM(D5:D31)</f>
        <v>2486822.0500000003</v>
      </c>
      <c r="E33" s="245">
        <f t="shared" si="1"/>
        <v>225549.27</v>
      </c>
      <c r="F33" s="245">
        <f t="shared" si="1"/>
        <v>6551</v>
      </c>
      <c r="G33" s="245">
        <f t="shared" si="1"/>
        <v>44291.83</v>
      </c>
      <c r="H33" s="245">
        <f t="shared" si="1"/>
        <v>34907.149999999994</v>
      </c>
      <c r="I33" s="245">
        <f t="shared" si="1"/>
        <v>0</v>
      </c>
    </row>
    <row r="35" spans="1:9" ht="12" thickBot="1" x14ac:dyDescent="0.25">
      <c r="B35" s="251" t="s">
        <v>831</v>
      </c>
      <c r="D35" s="252">
        <f>E33</f>
        <v>225549.27</v>
      </c>
      <c r="E35" s="248"/>
    </row>
    <row r="36" spans="1:9" ht="12" thickTop="1" x14ac:dyDescent="0.2">
      <c r="B36" t="s">
        <v>810</v>
      </c>
      <c r="D36" s="20">
        <f>D33</f>
        <v>2486822.0500000003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PITTSBURG SCHOOL DISTRICT</v>
      </c>
      <c r="B2" s="126">
        <f>'DOE25'!B2</f>
        <v>437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1684899.13</v>
      </c>
      <c r="G4" s="303">
        <f>'DOE25'!L212+'DOE25'!L291</f>
        <v>1684899.13</v>
      </c>
      <c r="H4" s="337">
        <f>F4-G4</f>
        <v>0</v>
      </c>
      <c r="I4" s="309" t="str">
        <f>IF(H4=0,"","Does not match DOE25 page 7 and 11 Totals!!")</f>
        <v/>
      </c>
      <c r="N4"/>
    </row>
    <row r="5" spans="1:18" x14ac:dyDescent="0.2">
      <c r="A5" s="21" t="s">
        <v>1359</v>
      </c>
      <c r="B5" s="304">
        <f>IFERROR(VLOOKUP(A5,'School Tables'!$C$3:$D$365,2,FALSE),"")</f>
        <v>20205</v>
      </c>
      <c r="C5" s="297" t="str">
        <f>IFERROR(INDEX('School Tables'!$B$3:$B$365,MATCH('School Level Expenditures'!B5,'School Tables'!$D$3:$D$365,0)),"")</f>
        <v>Pittsburg</v>
      </c>
      <c r="D5" s="294">
        <v>1606888.49</v>
      </c>
      <c r="E5" s="294">
        <v>78010.64</v>
      </c>
      <c r="F5" s="312">
        <f>D5+E5</f>
        <v>1684899.13</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1050598.1199999999</v>
      </c>
      <c r="G36" s="303">
        <f>'DOE25'!L248+'DOE25'!L329</f>
        <v>1050598.1199999999</v>
      </c>
      <c r="H36" s="337">
        <f>F36-G36</f>
        <v>0</v>
      </c>
      <c r="I36" s="309" t="str">
        <f>IF(H36=0,"","Does not match DOE25 page 9 and 13 Totals!!")</f>
        <v/>
      </c>
      <c r="N36"/>
    </row>
    <row r="37" spans="1:14" x14ac:dyDescent="0.2">
      <c r="A37" s="21" t="s">
        <v>1360</v>
      </c>
      <c r="B37" s="304">
        <f>IFERROR(VLOOKUP(A37,'School Tables'!$O$3:$P$118,2,FALSE),"")</f>
        <v>26500</v>
      </c>
      <c r="C37" s="297" t="str">
        <f t="array" ref="C37">IFERROR(INDEX('School Tables'!$N$3:$N$118,MATCH('School Level Expenditures'!B37,'School Tables'!$P$3:$P$118,0)),"")</f>
        <v>Pittsburg</v>
      </c>
      <c r="D37" s="294">
        <v>1047926.45</v>
      </c>
      <c r="E37" s="294">
        <v>2671.67</v>
      </c>
      <c r="F37" s="307">
        <f>D37+E37</f>
        <v>1050598.1199999999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PITTSBURG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426175.48</v>
      </c>
      <c r="D8" s="95">
        <f>'DOE25'!G9</f>
        <v>9189.6200000000008</v>
      </c>
      <c r="E8" s="95">
        <f>'DOE25'!H9</f>
        <v>0</v>
      </c>
      <c r="F8" s="95">
        <f>'DOE25'!I9</f>
        <v>0</v>
      </c>
      <c r="G8" s="95">
        <f>'DOE25'!J9</f>
        <v>479193.23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9171.06</v>
      </c>
      <c r="D11" s="95">
        <f>'DOE25'!G12</f>
        <v>0</v>
      </c>
      <c r="E11" s="95">
        <f>'DOE25'!H12</f>
        <v>0</v>
      </c>
      <c r="F11" s="95">
        <f>'DOE25'!I12</f>
        <v>0</v>
      </c>
      <c r="G11" s="95">
        <f>'DOE25'!J12</f>
        <v>0</v>
      </c>
      <c r="H11" s="124"/>
      <c r="I11" s="124"/>
    </row>
    <row r="12" spans="1:9" x14ac:dyDescent="0.2">
      <c r="A12" s="1" t="s">
        <v>143</v>
      </c>
      <c r="B12" s="6">
        <v>140</v>
      </c>
      <c r="C12" s="95">
        <f>'DOE25'!F13</f>
        <v>7381.1</v>
      </c>
      <c r="D12" s="95">
        <f>'DOE25'!G13</f>
        <v>1273.33</v>
      </c>
      <c r="E12" s="95">
        <f>'DOE25'!H13</f>
        <v>10697.3</v>
      </c>
      <c r="F12" s="95">
        <f>'DOE25'!I13</f>
        <v>0</v>
      </c>
      <c r="G12" s="95">
        <f>'DOE25'!J13</f>
        <v>0</v>
      </c>
      <c r="H12" s="124"/>
      <c r="I12" s="124"/>
    </row>
    <row r="13" spans="1:9" x14ac:dyDescent="0.2">
      <c r="A13" s="1" t="s">
        <v>144</v>
      </c>
      <c r="B13" s="6">
        <v>150</v>
      </c>
      <c r="C13" s="95">
        <f>'DOE25'!F14</f>
        <v>0</v>
      </c>
      <c r="D13" s="95">
        <f>'DOE25'!G14</f>
        <v>21.9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2232.4899999999998</v>
      </c>
      <c r="E15" s="95">
        <f>'DOE25'!H16</f>
        <v>0</v>
      </c>
      <c r="F15" s="95">
        <f>'DOE25'!I16</f>
        <v>0</v>
      </c>
      <c r="G15" s="24" t="s">
        <v>288</v>
      </c>
      <c r="H15" s="124"/>
      <c r="I15" s="124"/>
    </row>
    <row r="16" spans="1:9" x14ac:dyDescent="0.2">
      <c r="A16" s="1" t="s">
        <v>147</v>
      </c>
      <c r="B16" s="6">
        <v>180</v>
      </c>
      <c r="C16" s="95">
        <f>'DOE25'!F17</f>
        <v>1356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444083.63999999996</v>
      </c>
      <c r="D18" s="41">
        <f>SUM(D8:D17)</f>
        <v>12717.34</v>
      </c>
      <c r="E18" s="41">
        <f>SUM(E8:E17)</f>
        <v>10697.3</v>
      </c>
      <c r="F18" s="41">
        <f>SUM(F8:F17)</f>
        <v>0</v>
      </c>
      <c r="G18" s="41">
        <f>SUM(G8:G17)</f>
        <v>479193.23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9696.06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10321.34</v>
      </c>
      <c r="D23" s="95">
        <f>'DOE25'!G24</f>
        <v>2012.21</v>
      </c>
      <c r="E23" s="95">
        <f>'DOE25'!H24</f>
        <v>244.48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7350.78</v>
      </c>
      <c r="D27" s="95">
        <f>'DOE25'!G28</f>
        <v>0</v>
      </c>
      <c r="E27" s="95">
        <f>'DOE25'!H28</f>
        <v>0</v>
      </c>
      <c r="F27" s="95">
        <f>'DOE25'!I28</f>
        <v>0</v>
      </c>
      <c r="G27" s="24" t="s">
        <v>288</v>
      </c>
      <c r="H27" s="124"/>
      <c r="I27" s="124"/>
    </row>
    <row r="28" spans="1:9" x14ac:dyDescent="0.2">
      <c r="A28" s="1" t="s">
        <v>157</v>
      </c>
      <c r="B28" s="6">
        <v>470</v>
      </c>
      <c r="C28" s="95">
        <f>'DOE25'!F29</f>
        <v>6968.22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756.76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24640.34</v>
      </c>
      <c r="D31" s="41">
        <f>SUM(D21:D30)</f>
        <v>2012.21</v>
      </c>
      <c r="E31" s="41">
        <f>SUM(E21:E30)</f>
        <v>10697.3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2232.4899999999998</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8472.64</v>
      </c>
      <c r="E47" s="95">
        <f>'DOE25'!H48</f>
        <v>0</v>
      </c>
      <c r="F47" s="95">
        <f>'DOE25'!I48</f>
        <v>0</v>
      </c>
      <c r="G47" s="95">
        <f>'DOE25'!J48</f>
        <v>479193.23</v>
      </c>
      <c r="H47" s="124"/>
      <c r="I47" s="124"/>
    </row>
    <row r="48" spans="1:9" x14ac:dyDescent="0.2">
      <c r="A48" s="1" t="s">
        <v>882</v>
      </c>
      <c r="B48" s="6">
        <v>753</v>
      </c>
      <c r="C48" s="95">
        <f>'DOE25'!F49</f>
        <v>4124</v>
      </c>
      <c r="D48" s="95">
        <f>'DOE25'!G49</f>
        <v>0</v>
      </c>
      <c r="E48" s="95">
        <f>'DOE25'!H49</f>
        <v>0</v>
      </c>
      <c r="F48" s="95">
        <f>'DOE25'!I49</f>
        <v>0</v>
      </c>
      <c r="G48" s="95">
        <f>'DOE25'!J49</f>
        <v>0</v>
      </c>
      <c r="H48" s="124"/>
      <c r="I48" s="124"/>
    </row>
    <row r="49" spans="1:9" ht="12" thickBot="1" x14ac:dyDescent="0.25">
      <c r="A49" s="29" t="s">
        <v>883</v>
      </c>
      <c r="B49" s="71">
        <v>770</v>
      </c>
      <c r="C49" s="95">
        <f>'DOE25'!F50</f>
        <v>415319.29999999981</v>
      </c>
      <c r="D49" s="24" t="s">
        <v>288</v>
      </c>
      <c r="E49" s="24" t="s">
        <v>288</v>
      </c>
      <c r="F49" s="24" t="s">
        <v>288</v>
      </c>
      <c r="G49" s="24" t="s">
        <v>288</v>
      </c>
      <c r="H49" s="124"/>
      <c r="I49" s="124"/>
    </row>
    <row r="50" spans="1:9" ht="12.75" thickTop="1" thickBot="1" x14ac:dyDescent="0.25">
      <c r="A50" s="38" t="s">
        <v>884</v>
      </c>
      <c r="B50" s="48"/>
      <c r="C50" s="41">
        <f>SUM(C34:C49)</f>
        <v>419443.29999999981</v>
      </c>
      <c r="D50" s="41">
        <f>SUM(D34:D49)</f>
        <v>10705.13</v>
      </c>
      <c r="E50" s="41">
        <f>SUM(E34:E49)</f>
        <v>0</v>
      </c>
      <c r="F50" s="41">
        <f>SUM(F34:F49)</f>
        <v>0</v>
      </c>
      <c r="G50" s="41">
        <f>SUM(G34:G49)</f>
        <v>479193.23</v>
      </c>
      <c r="H50" s="124"/>
      <c r="I50" s="124"/>
    </row>
    <row r="51" spans="1:9" ht="12" thickTop="1" x14ac:dyDescent="0.2">
      <c r="A51" s="38" t="s">
        <v>885</v>
      </c>
      <c r="B51" s="2"/>
      <c r="C51" s="41">
        <f>C50+C31</f>
        <v>444083.63999999984</v>
      </c>
      <c r="D51" s="41">
        <f>D50+D31</f>
        <v>12717.34</v>
      </c>
      <c r="E51" s="41">
        <f>E50+E31</f>
        <v>10697.3</v>
      </c>
      <c r="F51" s="41">
        <f>F50+F31</f>
        <v>0</v>
      </c>
      <c r="G51" s="41">
        <f>G50+G31</f>
        <v>479193.23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1686472</v>
      </c>
      <c r="D56" s="95">
        <f>'DOE25'!G60</f>
        <v>0</v>
      </c>
      <c r="E56" s="95">
        <f>'DOE25'!H60</f>
        <v>0</v>
      </c>
      <c r="F56" s="95">
        <f>'DOE25'!I60</f>
        <v>0</v>
      </c>
      <c r="G56" s="95">
        <f>'DOE25'!J60</f>
        <v>0</v>
      </c>
      <c r="H56"/>
      <c r="I56"/>
    </row>
    <row r="57" spans="1:9" x14ac:dyDescent="0.2">
      <c r="A57" s="1" t="s">
        <v>164</v>
      </c>
      <c r="B57" s="6" t="s">
        <v>165</v>
      </c>
      <c r="C57" s="95">
        <f>'DOE25'!F79</f>
        <v>472503.06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7417.48</v>
      </c>
      <c r="H59"/>
      <c r="I59"/>
    </row>
    <row r="60" spans="1:9" x14ac:dyDescent="0.2">
      <c r="A60" s="1" t="s">
        <v>170</v>
      </c>
      <c r="B60" s="118" t="s">
        <v>171</v>
      </c>
      <c r="C60" s="24" t="s">
        <v>288</v>
      </c>
      <c r="D60" s="95">
        <f>'DOE25'!G97</f>
        <v>9329.7999999999993</v>
      </c>
      <c r="E60" s="24" t="s">
        <v>288</v>
      </c>
      <c r="F60" s="24" t="s">
        <v>288</v>
      </c>
      <c r="G60" s="24" t="s">
        <v>288</v>
      </c>
      <c r="H60"/>
      <c r="I60"/>
    </row>
    <row r="61" spans="1:9" ht="12" thickBot="1" x14ac:dyDescent="0.25">
      <c r="A61" s="1" t="s">
        <v>172</v>
      </c>
      <c r="B61" s="118" t="s">
        <v>173</v>
      </c>
      <c r="C61" s="95">
        <f>SUM('DOE25'!F98:F110)</f>
        <v>90882.18</v>
      </c>
      <c r="D61" s="95">
        <f>SUM('DOE25'!G98:G110)</f>
        <v>0</v>
      </c>
      <c r="E61" s="95">
        <f>SUM('DOE25'!H98:H110)</f>
        <v>4660.45</v>
      </c>
      <c r="F61" s="95">
        <f>SUM('DOE25'!I98:I110)</f>
        <v>0</v>
      </c>
      <c r="G61" s="95">
        <f>SUM('DOE25'!J98:J110)</f>
        <v>0</v>
      </c>
      <c r="H61"/>
      <c r="I61"/>
    </row>
    <row r="62" spans="1:9" ht="12.75" thickTop="1" thickBot="1" x14ac:dyDescent="0.25">
      <c r="A62" s="29" t="s">
        <v>174</v>
      </c>
      <c r="B62" s="6"/>
      <c r="C62" s="130">
        <f>SUM(C57:C61)</f>
        <v>563385.24</v>
      </c>
      <c r="D62" s="130">
        <f>SUM(D57:D61)</f>
        <v>9329.7999999999993</v>
      </c>
      <c r="E62" s="130">
        <f>SUM(E57:E61)</f>
        <v>4660.45</v>
      </c>
      <c r="F62" s="130">
        <f>SUM(F57:F61)</f>
        <v>0</v>
      </c>
      <c r="G62" s="130">
        <f>SUM(G57:G61)</f>
        <v>7417.48</v>
      </c>
      <c r="H62"/>
      <c r="I62"/>
    </row>
    <row r="63" spans="1:9" ht="12" thickTop="1" x14ac:dyDescent="0.2">
      <c r="A63" s="29" t="s">
        <v>175</v>
      </c>
      <c r="B63" s="6"/>
      <c r="C63" s="22">
        <f>C56+C62</f>
        <v>2249857.2400000002</v>
      </c>
      <c r="D63" s="22">
        <f>D56+D62</f>
        <v>9329.7999999999993</v>
      </c>
      <c r="E63" s="22">
        <f>E56+E62</f>
        <v>4660.45</v>
      </c>
      <c r="F63" s="22">
        <f>F56+F62</f>
        <v>0</v>
      </c>
      <c r="G63" s="22">
        <f>G56+G62</f>
        <v>7417.48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534214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534214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665</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4118.66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641.6</v>
      </c>
      <c r="E77" s="95">
        <f>SUM('DOE25'!H131:H135)</f>
        <v>0</v>
      </c>
      <c r="F77" s="95">
        <f>SUM('DOE25'!I131:I135)</f>
        <v>0</v>
      </c>
      <c r="G77" s="95">
        <f>SUM('DOE25'!J131:J135)</f>
        <v>0</v>
      </c>
      <c r="H77"/>
      <c r="I77"/>
    </row>
    <row r="78" spans="1:9" ht="12.75" thickTop="1" thickBot="1" x14ac:dyDescent="0.25">
      <c r="A78" s="29" t="s">
        <v>259</v>
      </c>
      <c r="B78" s="6"/>
      <c r="C78" s="130">
        <f>SUM(C72:C77)</f>
        <v>4783.66</v>
      </c>
      <c r="D78" s="130">
        <f>SUM(D72:D77)</f>
        <v>641.6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538997.66</v>
      </c>
      <c r="D81" s="130">
        <f>SUM(D79:D80)+D78+D70</f>
        <v>641.6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755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19348.169999999998</v>
      </c>
      <c r="E88" s="341">
        <f>SUM('DOE25'!H153:H162)</f>
        <v>79927.310000000012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19348.169999999998</v>
      </c>
      <c r="E91" s="131">
        <f>SUM(E85:E90)</f>
        <v>80682.310000000012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30000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30000</v>
      </c>
      <c r="E103" s="86">
        <f>SUM(E93:E102)</f>
        <v>0</v>
      </c>
      <c r="F103" s="86">
        <f>SUM(F93:F102)</f>
        <v>0</v>
      </c>
      <c r="G103" s="86">
        <f>SUM(G93:G102)</f>
        <v>25000</v>
      </c>
    </row>
    <row r="104" spans="1:7" ht="12.75" thickTop="1" thickBot="1" x14ac:dyDescent="0.25">
      <c r="A104" s="33" t="s">
        <v>761</v>
      </c>
      <c r="C104" s="86">
        <f>C63+C81+C91+C103</f>
        <v>2788854.9000000004</v>
      </c>
      <c r="D104" s="86">
        <f>D63+D81+D91+D103</f>
        <v>59319.57</v>
      </c>
      <c r="E104" s="86">
        <f>E63+E81+E91+E103</f>
        <v>85342.760000000009</v>
      </c>
      <c r="F104" s="86">
        <f>F63+F81+F91+F103</f>
        <v>0</v>
      </c>
      <c r="G104" s="86">
        <f>G63+G81+G103</f>
        <v>32417.48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1226572.67</v>
      </c>
      <c r="D109" s="24" t="s">
        <v>288</v>
      </c>
      <c r="E109" s="95">
        <f>('DOE25'!L277)+('DOE25'!L296)+('DOE25'!L315)</f>
        <v>77818.150000000009</v>
      </c>
      <c r="F109" s="24" t="s">
        <v>288</v>
      </c>
      <c r="G109" s="24" t="s">
        <v>288</v>
      </c>
    </row>
    <row r="110" spans="1:7" x14ac:dyDescent="0.2">
      <c r="A110" t="s">
        <v>198</v>
      </c>
      <c r="B110" s="32" t="s">
        <v>199</v>
      </c>
      <c r="C110" s="95">
        <f>('DOE25'!L199)+('DOE25'!L217)+('DOE25'!L235)</f>
        <v>124668.95</v>
      </c>
      <c r="D110" s="24" t="s">
        <v>288</v>
      </c>
      <c r="E110" s="95">
        <f>('DOE25'!L278)+('DOE25'!L297)+('DOE25'!L316)</f>
        <v>104.98</v>
      </c>
      <c r="F110" s="24" t="s">
        <v>288</v>
      </c>
      <c r="G110" s="24" t="s">
        <v>288</v>
      </c>
    </row>
    <row r="111" spans="1:7" x14ac:dyDescent="0.2">
      <c r="A111" t="s">
        <v>200</v>
      </c>
      <c r="B111" s="32" t="s">
        <v>165</v>
      </c>
      <c r="C111" s="95">
        <f>('DOE25'!L200)+('DOE25'!L218)+('DOE25'!L236)</f>
        <v>320</v>
      </c>
      <c r="D111" s="24" t="s">
        <v>288</v>
      </c>
      <c r="E111" s="95">
        <f>('DOE25'!L279)+('DOE25'!L298)+('DOE25'!L317)</f>
        <v>0</v>
      </c>
      <c r="F111" s="24" t="s">
        <v>288</v>
      </c>
      <c r="G111" s="24" t="s">
        <v>288</v>
      </c>
    </row>
    <row r="112" spans="1:7" x14ac:dyDescent="0.2">
      <c r="A112" t="s">
        <v>201</v>
      </c>
      <c r="B112" s="32" t="s">
        <v>167</v>
      </c>
      <c r="C112" s="95">
        <f>('DOE25'!L201)+('DOE25'!L219)+('DOE25'!L237)</f>
        <v>78852.11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1430413.73</v>
      </c>
      <c r="D115" s="86">
        <f>SUM(D109:D114)</f>
        <v>0</v>
      </c>
      <c r="E115" s="86">
        <f>SUM(E109:E114)</f>
        <v>77923.13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254401.46999999997</v>
      </c>
      <c r="D118" s="24" t="s">
        <v>288</v>
      </c>
      <c r="E118" s="95">
        <f>+('DOE25'!L282)+('DOE25'!L301)+('DOE25'!L320)</f>
        <v>139.5</v>
      </c>
      <c r="F118" s="24" t="s">
        <v>288</v>
      </c>
      <c r="G118" s="24" t="s">
        <v>288</v>
      </c>
    </row>
    <row r="119" spans="1:7" x14ac:dyDescent="0.2">
      <c r="A119" t="s">
        <v>208</v>
      </c>
      <c r="B119" s="32" t="s">
        <v>209</v>
      </c>
      <c r="C119" s="95">
        <f>('DOE25'!L204)+('DOE25'!L222)+('DOE25'!L240)</f>
        <v>47750.33</v>
      </c>
      <c r="D119" s="24" t="s">
        <v>288</v>
      </c>
      <c r="E119" s="95">
        <f>+('DOE25'!L283)+('DOE25'!L302)+('DOE25'!L321)</f>
        <v>5402.19</v>
      </c>
      <c r="F119" s="24" t="s">
        <v>288</v>
      </c>
      <c r="G119" s="24" t="s">
        <v>288</v>
      </c>
    </row>
    <row r="120" spans="1:7" x14ac:dyDescent="0.2">
      <c r="A120" t="s">
        <v>210</v>
      </c>
      <c r="B120" s="32" t="s">
        <v>211</v>
      </c>
      <c r="C120" s="95">
        <f>('DOE25'!L205)+('DOE25'!L223)+('DOE25'!L241)</f>
        <v>323538.7</v>
      </c>
      <c r="D120" s="24" t="s">
        <v>288</v>
      </c>
      <c r="E120" s="95">
        <f>+('DOE25'!L284)+('DOE25'!L303)+('DOE25'!L322)</f>
        <v>1877.94</v>
      </c>
      <c r="F120" s="24" t="s">
        <v>288</v>
      </c>
      <c r="G120" s="24" t="s">
        <v>288</v>
      </c>
    </row>
    <row r="121" spans="1:7" x14ac:dyDescent="0.2">
      <c r="A121" t="s">
        <v>212</v>
      </c>
      <c r="B121" s="32" t="s">
        <v>213</v>
      </c>
      <c r="C121" s="95">
        <f>('DOE25'!L206)+('DOE25'!L224)+('DOE25'!L242)</f>
        <v>204467.84999999998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302084.46999999997</v>
      </c>
      <c r="D123" s="24" t="s">
        <v>288</v>
      </c>
      <c r="E123" s="95">
        <f>+('DOE25'!L287)+('DOE25'!L306)+('DOE25'!L325)</f>
        <v>0</v>
      </c>
      <c r="F123" s="24" t="s">
        <v>288</v>
      </c>
      <c r="G123" s="24" t="s">
        <v>288</v>
      </c>
    </row>
    <row r="124" spans="1:7" x14ac:dyDescent="0.2">
      <c r="A124" t="s">
        <v>218</v>
      </c>
      <c r="B124" s="32" t="s">
        <v>219</v>
      </c>
      <c r="C124" s="95">
        <f>('DOE25'!L209)+('DOE25'!L227)+('DOE25'!L245+'DOE25'!L255)</f>
        <v>82470.540000000008</v>
      </c>
      <c r="D124" s="24" t="s">
        <v>288</v>
      </c>
      <c r="E124" s="95">
        <f>+('DOE25'!L288)+('DOE25'!L307)+('DOE25'!L326)</f>
        <v>0</v>
      </c>
      <c r="F124" s="24" t="s">
        <v>288</v>
      </c>
      <c r="G124" s="24" t="s">
        <v>288</v>
      </c>
    </row>
    <row r="125" spans="1:7" x14ac:dyDescent="0.2">
      <c r="A125" t="s">
        <v>220</v>
      </c>
      <c r="B125" s="32" t="s">
        <v>221</v>
      </c>
      <c r="C125" s="95">
        <f>('DOE25'!L210)+('DOE25'!L228)+('DOE25'!L246)</f>
        <v>5027.3999999999996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53924.049999999988</v>
      </c>
      <c r="E127" s="24" t="s">
        <v>288</v>
      </c>
      <c r="F127" s="24" t="s">
        <v>288</v>
      </c>
      <c r="G127" s="24" t="s">
        <v>288</v>
      </c>
    </row>
    <row r="128" spans="1:7" ht="12.75" thickTop="1" thickBot="1" x14ac:dyDescent="0.25">
      <c r="A128" s="33" t="s">
        <v>226</v>
      </c>
      <c r="C128" s="86">
        <f>SUM(C118:C127)</f>
        <v>1219740.7599999998</v>
      </c>
      <c r="D128" s="86">
        <f>SUM(D118:D127)</f>
        <v>53924.049999999988</v>
      </c>
      <c r="E128" s="86">
        <f>SUM(E118:E127)</f>
        <v>7419.6299999999992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32417.475000000002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-7417.4750000000022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55000</v>
      </c>
      <c r="D144" s="141">
        <f>SUM(D130:D143)</f>
        <v>0</v>
      </c>
      <c r="E144" s="141">
        <f>SUM(E130:E143)</f>
        <v>0</v>
      </c>
      <c r="F144" s="141">
        <f>SUM(F130:F143)</f>
        <v>0</v>
      </c>
      <c r="G144" s="141">
        <f>SUM(G130:G143)</f>
        <v>0</v>
      </c>
    </row>
    <row r="145" spans="1:9" ht="12.75" thickTop="1" thickBot="1" x14ac:dyDescent="0.25">
      <c r="A145" s="33" t="s">
        <v>244</v>
      </c>
      <c r="C145" s="86">
        <f>(C115+C128+C144)</f>
        <v>2705154.4899999998</v>
      </c>
      <c r="D145" s="86">
        <f>(D115+D128+D144)</f>
        <v>53924.049999999988</v>
      </c>
      <c r="E145" s="86">
        <f>(E115+E128+E144)</f>
        <v>85342.760000000009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PITTSBURG SCHOOL DISTRICT</v>
      </c>
    </row>
    <row r="3" spans="1:4" x14ac:dyDescent="0.2">
      <c r="B3" s="188" t="s">
        <v>1587</v>
      </c>
    </row>
    <row r="4" spans="1:4" x14ac:dyDescent="0.2">
      <c r="B4" t="s">
        <v>61</v>
      </c>
      <c r="C4" s="179">
        <f>IF('DOE25'!F666+'DOE25'!F671=0,0,ROUND('DOE25'!F673,0))</f>
        <v>37165</v>
      </c>
    </row>
    <row r="5" spans="1:4" x14ac:dyDescent="0.2">
      <c r="B5" t="s">
        <v>700</v>
      </c>
      <c r="C5" s="179">
        <f>IF('DOE25'!G666+'DOE25'!G671=0,0,ROUND('DOE25'!G673,0))</f>
        <v>0</v>
      </c>
    </row>
    <row r="6" spans="1:4" x14ac:dyDescent="0.2">
      <c r="B6" t="s">
        <v>62</v>
      </c>
      <c r="C6" s="179">
        <f>IF('DOE25'!H666+'DOE25'!H671=0,0,ROUND('DOE25'!H673,0))</f>
        <v>31022</v>
      </c>
    </row>
    <row r="7" spans="1:4" x14ac:dyDescent="0.2">
      <c r="B7" t="s">
        <v>701</v>
      </c>
      <c r="C7" s="179">
        <f>IF('DOE25'!I666+'DOE25'!I671=0,0,ROUND('DOE25'!I673,0))</f>
        <v>34562</v>
      </c>
    </row>
    <row r="9" spans="1:4" x14ac:dyDescent="0.2">
      <c r="A9" s="187" t="s">
        <v>94</v>
      </c>
      <c r="B9" s="188" t="s">
        <v>1588</v>
      </c>
      <c r="C9" s="181" t="s">
        <v>720</v>
      </c>
      <c r="D9" s="181" t="s">
        <v>721</v>
      </c>
    </row>
    <row r="10" spans="1:4" x14ac:dyDescent="0.2">
      <c r="A10">
        <v>1100</v>
      </c>
      <c r="B10" t="s">
        <v>702</v>
      </c>
      <c r="C10" s="179">
        <f>ROUND('DOE25'!L198+'DOE25'!L216+'DOE25'!L234+'DOE25'!L277+'DOE25'!L296+'DOE25'!L315,0)</f>
        <v>1304391</v>
      </c>
      <c r="D10" s="182">
        <f>ROUND((C10/$C$28)*100,1)</f>
        <v>46.9</v>
      </c>
    </row>
    <row r="11" spans="1:4" x14ac:dyDescent="0.2">
      <c r="A11">
        <v>1200</v>
      </c>
      <c r="B11" t="s">
        <v>703</v>
      </c>
      <c r="C11" s="179">
        <f>ROUND('DOE25'!L199+'DOE25'!L217+'DOE25'!L235+'DOE25'!L278+'DOE25'!L297+'DOE25'!L316,0)</f>
        <v>124774</v>
      </c>
      <c r="D11" s="182">
        <f>ROUND((C11/$C$28)*100,1)</f>
        <v>4.5</v>
      </c>
    </row>
    <row r="12" spans="1:4" x14ac:dyDescent="0.2">
      <c r="A12">
        <v>1300</v>
      </c>
      <c r="B12" t="s">
        <v>704</v>
      </c>
      <c r="C12" s="179">
        <f>ROUND('DOE25'!L200+'DOE25'!L218+'DOE25'!L236+'DOE25'!L279+'DOE25'!L298+'DOE25'!L317,0)</f>
        <v>320</v>
      </c>
      <c r="D12" s="182">
        <f>ROUND((C12/$C$28)*100,1)</f>
        <v>0</v>
      </c>
    </row>
    <row r="13" spans="1:4" x14ac:dyDescent="0.2">
      <c r="A13">
        <v>1400</v>
      </c>
      <c r="B13" t="s">
        <v>705</v>
      </c>
      <c r="C13" s="179">
        <f>ROUND('DOE25'!L201+'DOE25'!L219+'DOE25'!L237+'DOE25'!L280+'DOE25'!L299+'DOE25'!L318,0)</f>
        <v>78852</v>
      </c>
      <c r="D13" s="182">
        <f>ROUND((C13/$C$28)*100,1)</f>
        <v>2.8</v>
      </c>
    </row>
    <row r="14" spans="1:4" x14ac:dyDescent="0.2">
      <c r="D14" s="182"/>
    </row>
    <row r="15" spans="1:4" x14ac:dyDescent="0.2">
      <c r="A15">
        <v>2100</v>
      </c>
      <c r="B15" t="s">
        <v>706</v>
      </c>
      <c r="C15" s="179">
        <f>ROUND('DOE25'!L203+'DOE25'!L221+'DOE25'!L239+'DOE25'!L282+'DOE25'!L301+'DOE25'!L320,0)</f>
        <v>254541</v>
      </c>
      <c r="D15" s="182">
        <f t="shared" ref="D15:D27" si="0">ROUND((C15/$C$28)*100,1)</f>
        <v>9.1999999999999993</v>
      </c>
    </row>
    <row r="16" spans="1:4" x14ac:dyDescent="0.2">
      <c r="A16">
        <v>2200</v>
      </c>
      <c r="B16" t="s">
        <v>707</v>
      </c>
      <c r="C16" s="179">
        <f>ROUND('DOE25'!L204+'DOE25'!L222+'DOE25'!L240+'DOE25'!L283+'DOE25'!L302+'DOE25'!L321,0)</f>
        <v>53153</v>
      </c>
      <c r="D16" s="182">
        <f t="shared" si="0"/>
        <v>1.9</v>
      </c>
    </row>
    <row r="17" spans="1:4" x14ac:dyDescent="0.2">
      <c r="A17" s="183" t="s">
        <v>723</v>
      </c>
      <c r="B17" t="s">
        <v>738</v>
      </c>
      <c r="C17" s="179">
        <f>ROUND('DOE25'!L205+'DOE25'!L210+'DOE25'!L223+'DOE25'!L228+'DOE25'!L241+'DOE25'!L246+'DOE25'!L284+'DOE25'!L289+'DOE25'!L303+'DOE25'!L308+'DOE25'!L322+'DOE25'!L327,0)</f>
        <v>330444</v>
      </c>
      <c r="D17" s="182">
        <f t="shared" si="0"/>
        <v>11.9</v>
      </c>
    </row>
    <row r="18" spans="1:4" x14ac:dyDescent="0.2">
      <c r="A18">
        <v>2400</v>
      </c>
      <c r="B18" t="s">
        <v>711</v>
      </c>
      <c r="C18" s="179">
        <f>ROUND('DOE25'!L206+'DOE25'!L224+'DOE25'!L242+'DOE25'!L285+'DOE25'!L304+'DOE25'!L323,0)</f>
        <v>204468</v>
      </c>
      <c r="D18" s="182">
        <f t="shared" si="0"/>
        <v>7.4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302084</v>
      </c>
      <c r="D20" s="182">
        <f t="shared" si="0"/>
        <v>10.9</v>
      </c>
    </row>
    <row r="21" spans="1:4" x14ac:dyDescent="0.2">
      <c r="A21">
        <v>2700</v>
      </c>
      <c r="B21" t="s">
        <v>710</v>
      </c>
      <c r="C21" s="179">
        <f>ROUND('DOE25'!L209+'DOE25'!L227+'DOE25'!L245+'DOE25'!L288+'DOE25'!L307+'DOE25'!L326,0)</f>
        <v>82471</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44594.2</v>
      </c>
      <c r="D27" s="182">
        <f t="shared" si="0"/>
        <v>1.6</v>
      </c>
    </row>
    <row r="28" spans="1:4" x14ac:dyDescent="0.2">
      <c r="B28" s="187" t="s">
        <v>719</v>
      </c>
      <c r="C28" s="180">
        <f>SUM(C10:C27)</f>
        <v>2780092.2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2780092.2</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1686472</v>
      </c>
      <c r="D35" s="182">
        <f t="shared" ref="D35:D40" si="1">ROUND((C35/$C$41)*100,1)</f>
        <v>58.1</v>
      </c>
    </row>
    <row r="36" spans="1:4" x14ac:dyDescent="0.2">
      <c r="B36" s="185" t="s">
        <v>739</v>
      </c>
      <c r="C36" s="179">
        <f>SUM('DOE25'!F112:J112)-SUM('DOE25'!G97:G110)+('DOE25'!F175+'DOE25'!F176+'DOE25'!I175+'DOE25'!I176)-C35</f>
        <v>575463.17000000039</v>
      </c>
      <c r="D36" s="182">
        <f t="shared" si="1"/>
        <v>19.8</v>
      </c>
    </row>
    <row r="37" spans="1:4" x14ac:dyDescent="0.2">
      <c r="A37" s="183" t="s">
        <v>835</v>
      </c>
      <c r="B37" s="185" t="s">
        <v>728</v>
      </c>
      <c r="C37" s="179">
        <f>ROUND('DOE25'!F117+'DOE25'!F118,0)</f>
        <v>534214</v>
      </c>
      <c r="D37" s="182">
        <f t="shared" si="1"/>
        <v>18.399999999999999</v>
      </c>
    </row>
    <row r="38" spans="1:4" x14ac:dyDescent="0.2">
      <c r="A38" s="183" t="s">
        <v>734</v>
      </c>
      <c r="B38" s="185" t="s">
        <v>729</v>
      </c>
      <c r="C38" s="179">
        <f>ROUND(SUM('DOE25'!F140:J140)-SUM('DOE25'!F117:F119),0)</f>
        <v>5425</v>
      </c>
      <c r="D38" s="182">
        <f t="shared" si="1"/>
        <v>0.2</v>
      </c>
    </row>
    <row r="39" spans="1:4" x14ac:dyDescent="0.2">
      <c r="A39">
        <v>4000</v>
      </c>
      <c r="B39" s="185" t="s">
        <v>730</v>
      </c>
      <c r="C39" s="179">
        <f>ROUND('DOE25'!F170+'DOE25'!G170+'DOE25'!H170+'DOE25'!I170,0)</f>
        <v>100030</v>
      </c>
      <c r="D39" s="182">
        <f t="shared" si="1"/>
        <v>3.4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2901604.1700000004</v>
      </c>
      <c r="D41" s="184">
        <f>SUM(D35:D40)</f>
        <v>99.90000000000002</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PITTSBURG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2020-11-20T17:28:04Z</cp:lastPrinted>
  <dcterms:created xsi:type="dcterms:W3CDTF">1997-12-04T19:04:30Z</dcterms:created>
  <dcterms:modified xsi:type="dcterms:W3CDTF">2020-12-11T20:08:29Z</dcterms:modified>
</cp:coreProperties>
</file>