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J473" i="1" l="1"/>
  <c r="J469" i="1"/>
  <c r="H473" i="1"/>
  <c r="G473" i="1"/>
  <c r="H469" i="1"/>
  <c r="G469" i="1"/>
  <c r="F46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E123" i="2" s="1"/>
  <c r="L307" i="1"/>
  <c r="L308" i="1"/>
  <c r="L315" i="1"/>
  <c r="L316" i="1"/>
  <c r="L317" i="1"/>
  <c r="L318" i="1"/>
  <c r="L320" i="1"/>
  <c r="L321" i="1"/>
  <c r="L322" i="1"/>
  <c r="L323" i="1"/>
  <c r="L324" i="1"/>
  <c r="L325" i="1"/>
  <c r="L326" i="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0" i="2"/>
  <c r="E121"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I409" i="1" s="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4" i="1"/>
  <c r="H636" i="1"/>
  <c r="H637" i="1"/>
  <c r="H638" i="1"/>
  <c r="H639" i="1"/>
  <c r="G644" i="1"/>
  <c r="G645" i="1"/>
  <c r="G651" i="1"/>
  <c r="G653" i="1"/>
  <c r="H653" i="1"/>
  <c r="G654" i="1"/>
  <c r="H654" i="1"/>
  <c r="G655" i="1"/>
  <c r="H655" i="1"/>
  <c r="H656" i="1"/>
  <c r="J656" i="1" s="1"/>
  <c r="G62" i="2"/>
  <c r="J572" i="1"/>
  <c r="I170" i="1"/>
  <c r="J140" i="1"/>
  <c r="H140" i="1"/>
  <c r="G553" i="1" l="1"/>
  <c r="D50" i="2"/>
  <c r="D15" i="13"/>
  <c r="C15" i="13" s="1"/>
  <c r="G646" i="1"/>
  <c r="G409" i="1"/>
  <c r="H646" i="1" s="1"/>
  <c r="J646" i="1" s="1"/>
  <c r="H409" i="1"/>
  <c r="H645" i="1" s="1"/>
  <c r="L402" i="1"/>
  <c r="C139" i="2" s="1"/>
  <c r="H462" i="1"/>
  <c r="H642" i="1" s="1"/>
  <c r="J652" i="1"/>
  <c r="G477" i="1"/>
  <c r="H477" i="1"/>
  <c r="H625" i="1" s="1"/>
  <c r="E124" i="2"/>
  <c r="L257" i="1"/>
  <c r="G662" i="1"/>
  <c r="H112" i="1"/>
  <c r="A40" i="12"/>
  <c r="C112" i="2"/>
  <c r="J258" i="1"/>
  <c r="J272" i="1" s="1"/>
  <c r="H663" i="1"/>
  <c r="C20" i="10"/>
  <c r="F258" i="1"/>
  <c r="F272" i="1" s="1"/>
  <c r="E119" i="2"/>
  <c r="C119" i="2"/>
  <c r="D6" i="13"/>
  <c r="C6" i="13" s="1"/>
  <c r="C110" i="2"/>
  <c r="E112" i="2"/>
  <c r="C11" i="10"/>
  <c r="C121" i="2"/>
  <c r="C13" i="10"/>
  <c r="G339" i="1"/>
  <c r="G353" i="1" s="1"/>
  <c r="C120" i="2"/>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C141" i="2" l="1"/>
  <c r="C144" i="2" s="1"/>
  <c r="E51" i="2"/>
  <c r="I663" i="1"/>
  <c r="F194" i="1"/>
  <c r="G628" i="1" s="1"/>
  <c r="J628" i="1" s="1"/>
  <c r="E128" i="2"/>
  <c r="C81" i="2"/>
  <c r="H649" i="1"/>
  <c r="J649" i="1" s="1"/>
  <c r="H661" i="1"/>
  <c r="H665" i="1" s="1"/>
  <c r="H668" i="1" s="1"/>
  <c r="G36" i="14"/>
  <c r="H36" i="14" s="1"/>
  <c r="I36" i="14" s="1"/>
  <c r="E115" i="2"/>
  <c r="F661" i="1"/>
  <c r="F665" i="1" s="1"/>
  <c r="F668" i="1" s="1"/>
  <c r="G24" i="14"/>
  <c r="H24" i="14" s="1"/>
  <c r="I24"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G633" i="1" l="1"/>
  <c r="F473" i="1"/>
  <c r="E145" i="2"/>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3" i="1" l="1"/>
  <c r="F475" i="1"/>
  <c r="F477" i="1" s="1"/>
  <c r="H623" i="1" s="1"/>
  <c r="J623" i="1" s="1"/>
  <c r="J633" i="1"/>
  <c r="I668" i="1"/>
  <c r="D28" i="10"/>
  <c r="D37" i="10"/>
  <c r="D36" i="10"/>
  <c r="D35" i="10"/>
  <c r="D40" i="10"/>
  <c r="D39" i="10"/>
  <c r="H657"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<sst xmlns="http://schemas.openxmlformats.org/spreadsheetml/2006/main" count="5553" uniqueCount="1647">
  <si>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</si>
  <si>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</si>
  <si>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</si>
  <si>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</si>
  <si>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</si>
  <si>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</si>
  <si>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</si>
  <si>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</si>
  <si>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</si>
  <si>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</si>
  <si>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</si>
  <si>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</si>
  <si>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</si>
  <si>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</si>
  <si>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</si>
  <si>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</si>
  <si>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</si>
  <si>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</si>
  <si>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</si>
  <si>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</si>
  <si>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</si>
  <si>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</si>
  <si>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</si>
  <si>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</si>
  <si>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</si>
  <si>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</si>
  <si>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</si>
  <si>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</si>
  <si>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</si>
  <si>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</si>
  <si>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</si>
  <si>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</si>
  <si>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</si>
  <si>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</si>
  <si>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</si>
  <si>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</si>
  <si>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</si>
  <si>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</si>
  <si>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</si>
  <si>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</si>
  <si>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</si>
  <si>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</si>
  <si>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</si>
  <si>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</si>
  <si>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</si>
  <si>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</si>
  <si>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</si>
  <si>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</si>
  <si>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</si>
  <si>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</si>
  <si>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</si>
  <si>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</si>
  <si>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</si>
  <si>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</si>
  <si>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</si>
  <si>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</si>
  <si>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</si>
  <si>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</si>
  <si>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</si>
  <si>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</si>
  <si>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</si>
  <si>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</si>
  <si>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</si>
  <si>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</si>
  <si>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</si>
  <si>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</si>
  <si>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</si>
  <si>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</si>
  <si>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</si>
  <si>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</si>
  <si>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</si>
  <si>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</si>
  <si>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</si>
  <si>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</si>
  <si>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</si>
  <si>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</si>
  <si>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</si>
  <si>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</si>
  <si>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</si>
  <si>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</si>
  <si>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</si>
  <si>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</si>
  <si>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</si>
  <si>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</si>
  <si>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</si>
  <si>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</si>
  <si>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</si>
  <si>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</si>
  <si>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</si>
  <si>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</si>
  <si>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</si>
  <si>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</si>
  <si>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</si>
  <si>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</si>
  <si>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</si>
  <si>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</si>
  <si>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</si>
  <si>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</si>
  <si>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</si>
  <si>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</si>
  <si>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</si>
  <si>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</si>
  <si>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</si>
  <si>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</si>
  <si>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</si>
  <si>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</si>
  <si>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</si>
  <si>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</si>
  <si>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</si>
  <si>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</si>
  <si>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</si>
  <si>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</si>
  <si>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</si>
  <si>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</si>
  <si>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</si>
  <si>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</si>
  <si>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</si>
  <si>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</si>
  <si>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</si>
  <si>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</si>
  <si>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</si>
  <si>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</si>
  <si>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</si>
  <si>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</si>
  <si>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</si>
  <si>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</si>
  <si>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</si>
  <si>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</si>
  <si>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</si>
  <si>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</si>
  <si>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</si>
  <si>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</si>
  <si>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</si>
  <si>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</si>
  <si>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</si>
  <si>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</si>
  <si>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</si>
  <si>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</si>
  <si>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</si>
  <si>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</si>
  <si>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</si>
  <si>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</si>
  <si>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</si>
  <si>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</si>
  <si>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</si>
  <si>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</si>
  <si>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</si>
  <si>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</si>
  <si>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</si>
  <si>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</si>
  <si>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</si>
  <si>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</si>
  <si>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</si>
  <si>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</si>
  <si>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</si>
  <si>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</si>
  <si>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</si>
  <si>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</si>
  <si>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</si>
  <si>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</si>
  <si>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</si>
  <si>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</si>
  <si>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</si>
  <si>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</si>
  <si>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</si>
  <si>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</si>
  <si>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</si>
  <si>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</si>
  <si>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</si>
  <si>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</si>
  <si>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</si>
  <si>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</si>
  <si>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</si>
  <si>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</si>
  <si>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</si>
  <si>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</si>
  <si>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</si>
  <si>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</si>
  <si>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</si>
  <si>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</si>
  <si>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</si>
  <si>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</si>
  <si>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</si>
  <si>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</si>
  <si>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</si>
  <si>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</si>
  <si>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</si>
  <si>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</si>
  <si>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</si>
  <si>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</si>
  <si>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</si>
  <si>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</si>
  <si>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</si>
  <si>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</si>
  <si>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</si>
  <si>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</si>
  <si>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</si>
  <si>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</si>
  <si>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</si>
  <si>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</si>
  <si>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</si>
  <si>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</si>
  <si>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</si>
  <si>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</si>
  <si>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</si>
  <si>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</si>
  <si>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</si>
  <si>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</si>
  <si>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</si>
  <si>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</si>
  <si>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</si>
  <si>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</si>
  <si>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</si>
  <si>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</si>
  <si>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</si>
  <si>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</si>
  <si>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</si>
  <si>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</si>
  <si>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</si>
  <si>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</si>
  <si>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</si>
  <si>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</si>
  <si>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</si>
  <si>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</si>
  <si>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</si>
  <si>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</si>
  <si>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</si>
  <si>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</si>
  <si>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</si>
  <si>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</si>
  <si>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</si>
  <si>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</si>
  <si>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</si>
  <si>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</si>
  <si>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</si>
  <si>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</si>
  <si>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</si>
  <si>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</si>
  <si>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</si>
  <si>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</si>
  <si>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</si>
  <si>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</si>
  <si>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</si>
  <si>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</si>
  <si>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</si>
  <si>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</si>
  <si>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</si>
  <si>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</si>
  <si>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</si>
  <si>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</si>
  <si>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</si>
  <si>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</si>
  <si>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</si>
  <si>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</si>
  <si>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</si>
  <si>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</si>
  <si>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</si>
  <si>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</si>
  <si>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</si>
  <si>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</si>
  <si>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</si>
  <si>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</si>
  <si>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</si>
  <si>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</si>
  <si>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</si>
  <si>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</si>
  <si>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</si>
  <si>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</si>
  <si>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</si>
  <si>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</si>
  <si>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</si>
  <si>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</si>
  <si>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</si>
  <si>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</si>
  <si>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</si>
  <si>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</si>
  <si>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</si>
  <si>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</si>
  <si>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</si>
  <si>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</si>
  <si>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</si>
  <si>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</si>
  <si>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</si>
  <si>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</si>
  <si>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</si>
  <si>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</si>
  <si>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</si>
  <si>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</si>
  <si>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</si>
  <si>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</si>
  <si>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</si>
  <si>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</si>
  <si>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</si>
  <si>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</si>
  <si>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</si>
  <si>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</si>
  <si>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</si>
  <si>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</si>
  <si>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</si>
  <si>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</si>
  <si>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</si>
  <si>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</si>
  <si>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</si>
  <si>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</si>
  <si>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</si>
  <si>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</si>
  <si>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</si>
  <si>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</si>
  <si>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</si>
  <si>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</si>
  <si>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</si>
  <si>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</si>
  <si>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</si>
  <si>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</si>
  <si>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</si>
  <si>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</si>
  <si>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</si>
  <si>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</si>
  <si>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</si>
  <si>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</si>
  <si>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</si>
  <si>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</si>
  <si>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</si>
  <si>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</si>
  <si>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</si>
  <si>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</si>
  <si>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</si>
  <si>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</si>
  <si>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</si>
  <si>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</si>
  <si>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</si>
  <si>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</si>
  <si>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</si>
  <si>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</si>
  <si>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</si>
  <si>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</si>
  <si>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</si>
  <si>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</si>
  <si>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</si>
  <si>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</si>
  <si>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</si>
  <si>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</si>
  <si>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</si>
  <si>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</si>
  <si>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</si>
  <si>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</si>
  <si>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</si>
  <si>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</si>
  <si>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</si>
  <si>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</si>
  <si>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</si>
  <si>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</si>
  <si>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</si>
  <si>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</si>
  <si>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</si>
  <si>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</si>
  <si>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</si>
  <si>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</si>
  <si>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</si>
  <si>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</si>
  <si>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</si>
  <si>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</si>
  <si>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</si>
  <si>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</si>
  <si>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</si>
  <si>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</si>
  <si>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</si>
  <si>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</si>
  <si>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</si>
  <si>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</si>
  <si>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</si>
  <si>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</si>
  <si>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</si>
  <si>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</si>
  <si>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</si>
  <si>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</si>
  <si>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</si>
  <si>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</si>
  <si>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</si>
  <si>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</si>
  <si>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</si>
  <si>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</si>
  <si>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</si>
  <si>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</si>
  <si>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</si>
  <si>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</si>
  <si>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</si>
  <si>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</si>
  <si>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</si>
  <si>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</si>
  <si>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</si>
  <si>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</si>
  <si>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</si>
  <si>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</si>
  <si>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</si>
  <si>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</si>
  <si>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</si>
  <si>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</si>
  <si>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</si>
  <si>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</si>
  <si>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</si>
  <si>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</si>
  <si>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</si>
  <si>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</si>
  <si>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</si>
  <si>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</si>
  <si>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</si>
  <si>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</si>
  <si>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</si>
  <si>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</si>
  <si>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</si>
  <si>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</si>
  <si>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</si>
  <si>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</si>
  <si>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</si>
  <si>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</si>
  <si>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</si>
  <si>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</si>
  <si>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</si>
  <si>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</si>
  <si>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</si>
  <si>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</si>
  <si>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</si>
  <si>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</si>
  <si>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</si>
  <si>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</si>
  <si>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</si>
  <si>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</si>
  <si>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</si>
  <si>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</si>
  <si>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</si>
  <si>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</si>
  <si>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</si>
  <si>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</si>
  <si>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</si>
  <si>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</si>
  <si>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</si>
  <si>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</si>
  <si>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</si>
  <si>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</si>
  <si>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</si>
  <si>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</si>
  <si>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</si>
  <si>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</si>
  <si>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</si>
  <si>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</si>
  <si>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</si>
  <si>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</si>
  <si>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</si>
  <si>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</si>
  <si>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</si>
  <si>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</si>
  <si>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</si>
  <si>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</si>
  <si>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</si>
  <si>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</si>
  <si>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</si>
  <si>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</si>
  <si>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</si>
  <si>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</si>
  <si>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</si>
  <si>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</si>
  <si>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</si>
  <si>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</si>
  <si>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</si>
  <si>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</si>
  <si>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</si>
  <si>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</si>
  <si>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</si>
  <si>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</si>
  <si>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</si>
  <si>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</si>
  <si>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</si>
  <si>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</si>
  <si>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</si>
  <si>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</si>
  <si>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</si>
  <si>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</si>
  <si>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</si>
  <si>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</si>
  <si>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</si>
  <si>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</si>
  <si>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</si>
  <si>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</si>
  <si>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</si>
  <si>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</si>
  <si>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</si>
  <si>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</si>
  <si>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</si>
  <si>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</si>
  <si>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</si>
  <si>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</si>
  <si>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</si>
  <si>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</si>
  <si>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</si>
  <si>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</si>
  <si>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</si>
  <si>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</si>
  <si>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</si>
  <si>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</si>
  <si>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</si>
  <si>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</si>
  <si>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</si>
  <si>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</si>
  <si>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</si>
  <si>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</si>
  <si>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</si>
  <si>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</si>
  <si>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</si>
  <si>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</si>
  <si>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</si>
  <si>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</si>
  <si>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</si>
  <si>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</si>
  <si>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</si>
  <si>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</si>
  <si>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</si>
  <si>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</si>
  <si>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</si>
  <si>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</si>
  <si>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</si>
  <si>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</si>
  <si>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</si>
  <si>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</si>
  <si>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</si>
  <si>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</si>
  <si>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</si>
  <si>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</si>
  <si>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</si>
  <si>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</si>
  <si>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</si>
  <si>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</si>
  <si>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</si>
  <si>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</si>
  <si>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</si>
  <si>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</si>
  <si>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</si>
  <si>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</si>
  <si>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</si>
  <si>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</si>
  <si>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</si>
  <si>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</si>
  <si>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</si>
  <si>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</si>
  <si>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</si>
  <si>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</si>
  <si>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</si>
  <si>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</si>
  <si>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</si>
  <si>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</si>
  <si>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</si>
  <si>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</si>
  <si>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</si>
  <si>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</si>
  <si>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</si>
  <si>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</si>
  <si>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</si>
  <si>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</si>
  <si>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</si>
  <si>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</si>
  <si>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</si>
  <si>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</si>
  <si>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</si>
  <si>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</si>
  <si>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</si>
  <si>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</si>
  <si>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</si>
  <si>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</si>
  <si>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</si>
  <si>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</si>
  <si>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</si>
  <si>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</si>
  <si>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</si>
  <si>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</si>
  <si>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</si>
  <si>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</si>
  <si>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</si>
  <si>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</si>
  <si>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</si>
  <si>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</si>
  <si>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</si>
  <si>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</si>
  <si>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</si>
  <si>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</si>
  <si>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</si>
  <si>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</si>
  <si>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</si>
  <si>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</si>
  <si>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</si>
  <si>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</si>
  <si>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</si>
  <si>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</si>
  <si>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</si>
  <si>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</si>
  <si>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</si>
  <si>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</si>
  <si>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</si>
  <si>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</si>
  <si>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</si>
  <si>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</si>
  <si>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</si>
  <si>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</si>
  <si>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</si>
  <si>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</si>
  <si>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</si>
  <si>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</si>
  <si>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</si>
  <si>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</si>
  <si>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</si>
  <si>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</si>
  <si>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</si>
  <si>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</si>
  <si>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</si>
  <si>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</si>
  <si>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</si>
  <si>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</si>
  <si>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</si>
  <si>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</si>
  <si>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</si>
  <si>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</si>
  <si>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</si>
  <si>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</si>
  <si>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</si>
  <si>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</si>
  <si>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</si>
  <si>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</si>
  <si>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</si>
  <si>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</si>
  <si>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</si>
  <si>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</si>
  <si>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</si>
  <si>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</si>
  <si>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</si>
  <si>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</si>
  <si>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</si>
  <si>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</si>
  <si>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</si>
  <si>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</si>
  <si>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</si>
  <si>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</si>
  <si>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</si>
  <si>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</si>
  <si>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</si>
  <si>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</si>
  <si>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</si>
  <si>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</si>
  <si>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</si>
  <si>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</si>
  <si>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</si>
  <si>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</si>
  <si>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</si>
  <si>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</si>
  <si>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</si>
  <si>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</si>
  <si>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</si>
  <si>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</si>
  <si>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</si>
  <si>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</si>
  <si>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</si>
  <si>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</si>
  <si>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</si>
  <si>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</si>
  <si>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</si>
  <si>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</si>
  <si>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</si>
  <si>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</si>
  <si>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</si>
  <si>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</si>
  <si>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</si>
  <si>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</si>
  <si>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</si>
  <si>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</si>
  <si>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</si>
  <si>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</si>
  <si>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</si>
  <si>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</si>
  <si>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</si>
  <si>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</si>
  <si>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</si>
  <si>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</si>
  <si>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</si>
  <si>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</si>
  <si>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</si>
  <si>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</si>
  <si>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</si>
  <si>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</si>
  <si>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</si>
  <si>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</si>
  <si>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</si>
  <si>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</si>
  <si>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</si>
  <si>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</si>
  <si>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</si>
  <si>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</si>
  <si>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</si>
  <si>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</si>
  <si>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</si>
  <si>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</si>
  <si>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</si>
  <si>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</si>
  <si>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</si>
  <si>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</si>
  <si>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</si>
  <si>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</si>
  <si>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</si>
  <si>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</si>
  <si>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</si>
  <si>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</si>
  <si>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</si>
  <si>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</si>
  <si>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</si>
  <si>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</si>
  <si>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</si>
  <si>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</si>
  <si>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</si>
  <si>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</si>
  <si>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</si>
  <si>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</si>
  <si>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</si>
  <si>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</si>
  <si>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</si>
  <si>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</si>
  <si>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</si>
  <si>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</si>
  <si>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</si>
  <si>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</si>
  <si>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</si>
  <si>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</si>
  <si>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</si>
  <si>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</si>
  <si>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</si>
  <si>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</si>
  <si>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</si>
  <si>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</si>
  <si>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</si>
  <si>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</si>
  <si>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</si>
  <si>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</si>
  <si>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</si>
  <si>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</si>
  <si>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</si>
  <si>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</si>
  <si>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</si>
  <si>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</si>
  <si>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</si>
  <si>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</si>
  <si>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</si>
  <si>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</si>
  <si>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</si>
  <si>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</si>
  <si>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</si>
  <si>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</si>
  <si>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</si>
  <si>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</si>
  <si>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</si>
  <si>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</si>
  <si>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</si>
  <si>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</si>
  <si>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</si>
  <si>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</si>
  <si>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</si>
  <si>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</si>
  <si>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</si>
  <si>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</si>
  <si>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</si>
  <si>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</si>
  <si>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</si>
  <si>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</si>
  <si>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</si>
  <si>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</si>
  <si>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</si>
  <si>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</si>
  <si>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</si>
  <si>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</si>
  <si>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</si>
  <si>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</si>
  <si>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</si>
  <si>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</si>
  <si>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</si>
  <si>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</si>
  <si>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</si>
  <si>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</si>
  <si>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</si>
  <si>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</si>
  <si>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</si>
  <si>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</si>
  <si>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</si>
  <si>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</si>
  <si>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</si>
  <si>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</si>
  <si>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</si>
  <si>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</si>
  <si>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</si>
  <si>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</si>
  <si>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</si>
  <si>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</si>
  <si>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</si>
  <si>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</si>
  <si>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</si>
  <si>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</si>
  <si>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</si>
  <si>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</si>
  <si>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</si>
  <si>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</si>
  <si>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</si>
  <si>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</si>
  <si>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</si>
  <si>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</si>
  <si>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</si>
  <si>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</si>
  <si>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</si>
  <si>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</si>
  <si>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</si>
  <si>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</si>
  <si>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</si>
  <si>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</si>
  <si>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</si>
  <si>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</si>
  <si>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</si>
  <si>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</si>
  <si>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</si>
  <si>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</si>
  <si>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</si>
  <si>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</si>
  <si>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</si>
  <si>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</si>
  <si>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</si>
  <si>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</si>
  <si>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</si>
  <si>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</si>
  <si>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</si>
  <si>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</si>
  <si>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</si>
  <si>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</si>
  <si>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</si>
  <si>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</si>
  <si>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</si>
  <si>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</si>
  <si>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</si>
  <si>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</si>
  <si>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</si>
  <si>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</si>
  <si>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</si>
  <si>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</si>
  <si>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</si>
  <si>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</si>
  <si>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</si>
  <si>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</si>
  <si>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</si>
  <si>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</si>
  <si>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</si>
  <si>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</si>
  <si>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</si>
  <si>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</si>
  <si>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</si>
  <si>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</si>
  <si>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</si>
  <si>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</si>
  <si>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</si>
  <si>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</si>
  <si>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</si>
  <si>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</si>
  <si>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</si>
  <si>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</si>
  <si>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</si>
  <si>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</si>
  <si>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</si>
  <si>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</si>
  <si>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</si>
  <si>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</si>
  <si>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</si>
  <si>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</si>
  <si>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</si>
  <si>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</si>
  <si>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</si>
  <si>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</si>
  <si>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</si>
  <si>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</si>
  <si>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</si>
  <si>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</si>
  <si>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</si>
  <si>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</si>
  <si>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</si>
  <si>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</si>
  <si>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</si>
  <si>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</si>
  <si>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</si>
  <si>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</si>
  <si>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</si>
  <si>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</si>
  <si>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</si>
  <si>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</si>
  <si>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</si>
  <si>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</si>
  <si>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</si>
  <si>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</si>
  <si>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</si>
  <si>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</si>
  <si>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</si>
  <si>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</si>
  <si>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</si>
  <si>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</si>
  <si>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</si>
  <si>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</si>
  <si>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</si>
  <si>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</si>
  <si>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</si>
  <si>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</si>
  <si>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</si>
  <si>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</si>
  <si>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</si>
  <si>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</si>
  <si>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</si>
  <si>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</si>
  <si>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</si>
  <si>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</si>
  <si>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</si>
  <si>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</si>
  <si>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</si>
  <si>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</si>
  <si>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</si>
  <si>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</si>
  <si>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</si>
  <si>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</si>
  <si>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</si>
  <si>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</si>
  <si>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</si>
  <si>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</si>
  <si>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</si>
  <si>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</si>
  <si>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</si>
  <si>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</si>
  <si>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</si>
  <si>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</si>
  <si>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</si>
  <si>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</si>
  <si>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</si>
  <si>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</si>
  <si>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</si>
  <si>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</si>
  <si>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</si>
  <si>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</si>
  <si>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</si>
  <si>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</si>
  <si>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</si>
  <si>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</si>
  <si>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</si>
  <si>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</si>
  <si>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</si>
  <si>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</si>
  <si>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</si>
  <si>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</si>
  <si>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</si>
  <si>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</si>
  <si>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</si>
  <si>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</si>
  <si>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</si>
  <si>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</si>
  <si>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</si>
  <si>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</si>
  <si>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</si>
  <si>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</si>
  <si>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</si>
  <si>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</si>
  <si>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</si>
  <si>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</si>
  <si>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</si>
  <si>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</si>
  <si>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</si>
  <si>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</si>
  <si>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</si>
  <si>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</si>
  <si>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</si>
  <si>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</si>
  <si>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</si>
  <si>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</si>
  <si>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</si>
  <si>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</si>
  <si>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</si>
  <si>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</si>
  <si>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</si>
  <si>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</si>
  <si>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</si>
  <si>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</si>
  <si>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</si>
  <si>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</si>
  <si>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</si>
  <si>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</si>
  <si>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</si>
  <si>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</si>
  <si>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</si>
  <si>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</si>
  <si>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</si>
  <si>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</si>
  <si>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</si>
  <si>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</si>
  <si>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</si>
  <si>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</si>
  <si>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</si>
  <si>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</si>
  <si>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</si>
  <si>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</si>
  <si>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</si>
  <si>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</si>
  <si>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</si>
  <si>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</si>
  <si>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</si>
  <si>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</si>
  <si>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</si>
  <si>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</si>
  <si>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</si>
  <si>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</si>
  <si>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</si>
  <si>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</si>
  <si>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</si>
  <si>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</si>
  <si>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</si>
  <si>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</si>
  <si>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</si>
  <si>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</si>
  <si>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</si>
  <si>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</si>
  <si>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</si>
  <si>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</si>
  <si>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</si>
  <si>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</si>
  <si>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</si>
  <si>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</si>
  <si>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</si>
  <si>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</si>
  <si>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</si>
  <si>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</si>
  <si>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</si>
  <si>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</si>
  <si>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</si>
  <si>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</si>
  <si>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</si>
  <si>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</si>
  <si>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</si>
  <si>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</si>
  <si>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</si>
  <si>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</si>
  <si>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</si>
  <si>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</si>
  <si>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</si>
  <si>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</si>
  <si>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</si>
  <si>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</si>
  <si>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</si>
  <si>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</si>
  <si>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</si>
  <si>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</si>
  <si>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</si>
  <si>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</si>
  <si>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</si>
  <si>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</si>
  <si>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</si>
  <si>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</si>
  <si>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</si>
  <si>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</si>
  <si>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</si>
  <si>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</si>
  <si>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</si>
  <si>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</si>
  <si>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</si>
  <si>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</si>
  <si>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</si>
  <si>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</si>
  <si>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</si>
  <si>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</si>
  <si>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</si>
  <si>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</si>
  <si>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</si>
  <si>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</si>
  <si>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</si>
  <si>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</si>
  <si>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</si>
  <si>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</si>
  <si>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</si>
  <si>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</si>
  <si>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</si>
  <si>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</si>
  <si>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</si>
  <si>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</si>
  <si>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</si>
  <si>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</si>
  <si>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</si>
  <si>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</si>
  <si>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</si>
  <si>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</si>
  <si>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</si>
  <si>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</si>
  <si>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</si>
  <si>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</si>
  <si>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</si>
  <si>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</si>
  <si>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</si>
  <si>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</si>
  <si>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</si>
  <si>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</si>
  <si>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</si>
  <si>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</si>
  <si>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</si>
  <si>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</si>
  <si>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</si>
  <si>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</si>
  <si>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</si>
  <si>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</si>
  <si>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</si>
  <si>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</si>
  <si>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</si>
  <si>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</si>
  <si>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</si>
  <si>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</si>
  <si>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</si>
  <si>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</si>
  <si>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</si>
  <si>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</si>
  <si>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</si>
  <si>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</si>
  <si>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</si>
  <si>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</si>
  <si>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</si>
  <si>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</si>
  <si>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</si>
  <si>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</si>
  <si>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</si>
  <si>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</si>
  <si>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</si>
  <si>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</si>
  <si>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</si>
  <si>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</si>
  <si>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</si>
  <si>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</si>
  <si>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</si>
  <si>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</si>
  <si>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</si>
  <si>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</si>
  <si>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</si>
  <si>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</si>
  <si>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</si>
  <si>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</si>
  <si>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</si>
  <si>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</si>
  <si>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</si>
  <si>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</si>
  <si>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</si>
  <si>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</si>
  <si>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</si>
  <si>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</si>
  <si>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</si>
  <si>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</si>
  <si>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</si>
  <si>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</si>
  <si>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</si>
  <si>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</si>
  <si>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</si>
  <si>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</si>
  <si>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</si>
  <si>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</si>
  <si>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</si>
  <si>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</si>
  <si>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</si>
  <si>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</si>
  <si>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</si>
  <si>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</si>
  <si>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</si>
  <si>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</si>
  <si>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</si>
  <si>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</si>
  <si>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</si>
  <si>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</si>
  <si>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</si>
  <si>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</si>
  <si>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</si>
  <si>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</si>
  <si>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</si>
  <si>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</si>
  <si>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</si>
  <si>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</si>
  <si>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</si>
  <si>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</si>
  <si>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</si>
  <si>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</si>
  <si>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</si>
  <si>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</si>
  <si>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</si>
  <si>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</si>
  <si>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</si>
  <si>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</si>
  <si>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</si>
  <si>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</si>
  <si>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</si>
  <si>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</si>
  <si>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</si>
  <si>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</si>
  <si>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</si>
  <si>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</si>
  <si>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</si>
  <si>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</si>
  <si>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</si>
  <si>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</si>
  <si>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</si>
  <si>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</si>
  <si>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</si>
  <si>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</si>
  <si>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</si>
  <si>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</si>
  <si>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</si>
  <si>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</si>
  <si>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</si>
  <si>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</si>
  <si>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</si>
  <si>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</si>
  <si>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</si>
  <si>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</si>
  <si>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</si>
  <si>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</si>
  <si>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</si>
  <si>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</si>
  <si>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</si>
  <si>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</si>
  <si>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</si>
  <si>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</si>
  <si>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</si>
  <si>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</si>
  <si>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</si>
  <si>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</si>
  <si>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</si>
  <si>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</si>
  <si>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</si>
  <si>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</si>
  <si>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</si>
  <si>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</si>
  <si>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</si>
  <si>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</si>
  <si>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</si>
  <si>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</si>
  <si>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</si>
  <si>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</si>
  <si>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</si>
  <si>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</si>
  <si>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</si>
  <si>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</si>
  <si>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</si>
  <si>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</si>
  <si>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</si>
  <si>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</si>
  <si>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</si>
  <si>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</si>
  <si>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</si>
  <si>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</si>
  <si>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</si>
  <si>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</si>
  <si>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</si>
  <si>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</si>
  <si>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</si>
  <si>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</si>
  <si>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</si>
  <si>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</si>
  <si>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</si>
  <si>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</si>
  <si>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</si>
  <si>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</si>
  <si>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</si>
  <si>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</si>
  <si>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</si>
  <si>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</si>
  <si>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</si>
  <si>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</si>
  <si>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</si>
  <si>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</si>
  <si>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</si>
  <si>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</si>
  <si>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</si>
  <si>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</si>
  <si>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</si>
  <si>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</si>
  <si>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</si>
  <si>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</si>
  <si>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</si>
  <si>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</si>
  <si>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</si>
  <si>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</si>
  <si>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</si>
  <si>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</si>
  <si>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</si>
  <si>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</si>
  <si>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</si>
  <si>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</si>
  <si>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</si>
  <si>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</si>
  <si>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</si>
  <si>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</si>
  <si>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</si>
  <si>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</si>
  <si>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</si>
  <si>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</si>
  <si>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</si>
  <si>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</si>
  <si>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</si>
  <si>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</si>
  <si>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</si>
  <si>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</si>
  <si>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</si>
  <si>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</si>
  <si>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</si>
  <si>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</si>
  <si>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</si>
  <si>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</si>
  <si>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</si>
  <si>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</si>
  <si>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</si>
  <si>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</si>
  <si>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</si>
  <si>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</si>
  <si>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</si>
  <si>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</si>
  <si>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</si>
  <si>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</si>
  <si>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</si>
  <si>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</si>
  <si>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</si>
  <si>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</si>
  <si>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</si>
  <si>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</si>
  <si>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</si>
  <si>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</si>
  <si>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</si>
  <si>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</si>
  <si>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</si>
  <si>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</si>
  <si>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</si>
  <si>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</si>
  <si>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</si>
  <si>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</si>
  <si>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</si>
  <si>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</si>
  <si>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</si>
  <si>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</si>
  <si>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</si>
  <si>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</si>
  <si>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</si>
  <si>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</si>
  <si>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</si>
  <si>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</si>
  <si>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</si>
  <si>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</si>
  <si>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</si>
  <si>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</si>
  <si>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</si>
  <si>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</si>
  <si>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</si>
  <si>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</si>
  <si>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</si>
  <si>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</si>
  <si>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</si>
  <si>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</si>
  <si>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</si>
  <si>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</si>
  <si>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</si>
  <si>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</si>
  <si>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</si>
  <si>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</si>
  <si>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</si>
  <si>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</si>
  <si>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</si>
  <si>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</si>
  <si>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</si>
  <si>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</si>
  <si>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</si>
  <si>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</si>
  <si>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</si>
  <si>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</si>
  <si>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</si>
  <si>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</si>
  <si>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</si>
  <si>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</si>
  <si>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</si>
  <si>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</si>
  <si>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</si>
  <si>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</si>
  <si>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</si>
  <si>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</si>
  <si>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</si>
  <si>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</si>
  <si>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</si>
  <si>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</si>
  <si>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</si>
  <si>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</si>
  <si>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</si>
  <si>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</si>
  <si>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</si>
  <si>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</si>
  <si>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</si>
  <si>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</si>
  <si>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</si>
  <si>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</si>
  <si>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</si>
  <si>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</si>
  <si>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</si>
  <si>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</si>
  <si>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</si>
  <si>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</si>
  <si>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</si>
  <si>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</si>
  <si>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</si>
  <si>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</si>
  <si>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</si>
  <si>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</si>
  <si>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</si>
  <si>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</si>
  <si>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</si>
  <si>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</si>
  <si>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</si>
  <si>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</si>
  <si>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</si>
  <si>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</si>
  <si>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</si>
  <si>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</si>
  <si>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</si>
  <si>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</si>
  <si>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</si>
  <si>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</si>
  <si>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</si>
  <si>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</si>
  <si>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</si>
  <si>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</si>
  <si>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</si>
  <si>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</si>
  <si>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</si>
  <si>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</si>
  <si>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</si>
  <si>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</si>
  <si>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</si>
  <si>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</si>
  <si>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</si>
  <si>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</si>
  <si>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</si>
  <si>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</si>
  <si>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</si>
  <si>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</si>
  <si>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</si>
  <si>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</si>
  <si>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</si>
  <si>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</si>
  <si>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</si>
  <si>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</si>
  <si>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</si>
  <si>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</si>
  <si>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</si>
  <si>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</si>
  <si>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</si>
  <si>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</si>
  <si>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</si>
  <si>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</si>
  <si>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</si>
  <si>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</si>
  <si>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</si>
  <si>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</si>
  <si>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</si>
  <si>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</si>
  <si>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</si>
  <si>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</si>
  <si>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</si>
  <si>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</si>
  <si>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</si>
  <si>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</si>
  <si>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</si>
  <si>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</si>
  <si>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</si>
  <si>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</si>
  <si>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</si>
  <si>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</si>
  <si>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</si>
  <si>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</si>
  <si>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</si>
  <si>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</si>
  <si>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</si>
  <si>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</si>
  <si>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</si>
  <si>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</si>
  <si>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</si>
  <si>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</si>
  <si>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</si>
  <si>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</si>
  <si>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</si>
  <si>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</si>
  <si>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</si>
  <si>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</si>
  <si>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</si>
  <si>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</si>
  <si>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</si>
  <si>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</si>
  <si>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</si>
  <si>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</si>
  <si>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</si>
  <si>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</si>
  <si>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</si>
  <si>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</si>
  <si>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</si>
  <si>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</si>
  <si>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</si>
  <si>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</si>
  <si>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</si>
  <si>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</si>
  <si>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</si>
  <si>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</si>
  <si>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</si>
  <si>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</si>
  <si>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</si>
  <si>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</si>
  <si>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</si>
  <si>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</si>
  <si>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</si>
  <si>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</si>
  <si>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</si>
  <si>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</si>
  <si>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</si>
  <si>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</si>
  <si>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</si>
  <si>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</si>
  <si>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</si>
  <si>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</si>
  <si>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</si>
  <si>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</si>
  <si>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</si>
  <si>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</si>
  <si>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</si>
  <si>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</si>
  <si>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</si>
  <si>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</si>
  <si>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</si>
  <si>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</si>
  <si>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</si>
  <si>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</si>
  <si>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</si>
  <si>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</si>
  <si>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</si>
  <si>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</si>
  <si>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</si>
  <si>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</si>
  <si>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</si>
  <si>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</si>
  <si>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</si>
  <si>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</si>
  <si>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</si>
  <si>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</si>
  <si>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</si>
  <si>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</si>
  <si>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</si>
  <si>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</si>
  <si>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</si>
  <si>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</si>
  <si>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</si>
  <si>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</si>
  <si>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</si>
  <si>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</si>
  <si>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</si>
  <si>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</si>
  <si>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</si>
  <si>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</si>
  <si>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</si>
  <si>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</si>
  <si>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</si>
  <si>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</si>
  <si>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</si>
  <si>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</si>
  <si>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</si>
  <si>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</si>
  <si>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</si>
  <si>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</si>
  <si>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</si>
  <si>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</si>
  <si>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</si>
  <si>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</si>
  <si>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</si>
  <si>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</si>
  <si>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</si>
  <si>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</si>
  <si>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</si>
  <si>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</si>
  <si>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</si>
  <si>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</si>
  <si>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</si>
  <si>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</si>
  <si>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</si>
  <si>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</si>
  <si>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</si>
  <si>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</si>
  <si>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</si>
  <si>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</si>
  <si>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</si>
  <si>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</si>
  <si>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</si>
  <si>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</si>
  <si>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</si>
  <si>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</si>
  <si>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</si>
  <si>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</si>
  <si>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</si>
  <si>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</si>
  <si>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</si>
  <si>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</si>
  <si>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</si>
  <si>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</si>
  <si>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</si>
  <si>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</si>
  <si>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</si>
  <si>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</si>
  <si>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</si>
  <si>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</si>
  <si>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</si>
  <si>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</si>
  <si>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</si>
  <si>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</si>
  <si>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</si>
  <si>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</si>
  <si>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</si>
  <si>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</si>
  <si>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</si>
  <si>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</si>
  <si>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</si>
  <si>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</si>
  <si>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</si>
  <si>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</si>
  <si>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</si>
  <si>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</si>
  <si>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</si>
  <si>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</si>
  <si>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</si>
  <si>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</si>
  <si>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</si>
  <si>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</si>
  <si>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</si>
  <si>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</si>
  <si>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</si>
  <si>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</si>
  <si>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</si>
  <si>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</si>
  <si>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</si>
  <si>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</si>
  <si>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PITTSFIELD SCHOOL DISTRICT</t>
  </si>
  <si>
    <t>12/99</t>
  </si>
  <si>
    <t>01/20</t>
  </si>
  <si>
    <t>CARPENTER TRUST</t>
  </si>
  <si>
    <t>We do not wish a indirect cost rate to be assigned in FY22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</si>
</sst>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50"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439</v>
      </c>
      <c r="C2" s="21">
        <v>439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773723.6</v>
      </c>
      <c r="G9" s="18">
        <v>14287.2</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184247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183031.13</v>
      </c>
      <c r="G12" s="18"/>
      <c r="H12" s="18"/>
      <c r="I12" s="18"/>
      <c r="J12" s="67">
        <f>SUM(I442)</f>
        <v>10200.1</v>
      </c>
      <c r="K12" s="24" t="s">
        <v>288</v>
      </c>
      <c r="L12" s="24" t="s">
        <v>288</v>
      </c>
      <c r="M12" s="8"/>
      <c r="N12" s="266"/>
    </row>
    <row r="13" spans="1:14" s="3" customFormat="1" ht="12.2" customHeight="1" x14ac:dyDescent="0.15">
      <c r="A13" s="1" t="s">
        <v>604</v>
      </c>
      <c r="B13" s="2" t="s">
        <v>289</v>
      </c>
      <c r="C13" s="6">
        <v>5</v>
      </c>
      <c r="D13" s="2" t="s">
        <v>428</v>
      </c>
      <c r="E13" s="6">
        <v>140</v>
      </c>
      <c r="F13" s="18">
        <v>384467</v>
      </c>
      <c r="G13" s="18">
        <v>103537.11</v>
      </c>
      <c r="H13" s="18">
        <v>101706</v>
      </c>
      <c r="I13" s="18"/>
      <c r="J13" s="67">
        <f>SUM(I443)</f>
        <v>447112</v>
      </c>
      <c r="K13" s="24" t="s">
        <v>288</v>
      </c>
      <c r="L13" s="24" t="s">
        <v>288</v>
      </c>
      <c r="M13" s="8"/>
      <c r="N13" s="266"/>
    </row>
    <row r="14" spans="1:14" s="3" customFormat="1" ht="12.2" customHeight="1" x14ac:dyDescent="0.15">
      <c r="A14" s="1" t="s">
        <v>565</v>
      </c>
      <c r="B14" s="2" t="s">
        <v>289</v>
      </c>
      <c r="C14" s="6">
        <v>6</v>
      </c>
      <c r="D14" s="2" t="s">
        <v>428</v>
      </c>
      <c r="E14" s="6">
        <v>150</v>
      </c>
      <c r="F14" s="18">
        <v>29961.77</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8159.26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1371183.5</v>
      </c>
      <c r="G19" s="41">
        <f>SUM(G9:G18)</f>
        <v>125983.56999999999</v>
      </c>
      <c r="H19" s="41">
        <f>SUM(H9:H18)</f>
        <v>101706</v>
      </c>
      <c r="I19" s="41">
        <f>SUM(I9:I18)</f>
        <v>0</v>
      </c>
      <c r="J19" s="41">
        <f>SUM(J9:J18)</f>
        <v>641559.1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10200.64</v>
      </c>
      <c r="G22" s="18">
        <v>96179.42</v>
      </c>
      <c r="H22" s="18">
        <v>86852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367518.25</v>
      </c>
      <c r="G24" s="18">
        <v>9453.0499999999993</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471344.93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14854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849063.82000000007</v>
      </c>
      <c r="G32" s="41">
        <f>SUM(G22:G31)</f>
        <v>105632.47</v>
      </c>
      <c r="H32" s="41">
        <f>SUM(H22:H31)</f>
        <v>101706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8159.26</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184247</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12191.84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457312.1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372119.68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522119.67999999999</v>
      </c>
      <c r="G51" s="41">
        <f>SUM(G35:G50)</f>
        <v>20351.099999999999</v>
      </c>
      <c r="H51" s="41">
        <f>SUM(H35:H50)</f>
        <v>0</v>
      </c>
      <c r="I51" s="41">
        <f>SUM(I35:I50)</f>
        <v>0</v>
      </c>
      <c r="J51" s="41">
        <f>SUM(J35:J50)</f>
        <v>641559.1</v>
      </c>
      <c r="K51" s="45" t="s">
        <v>288</v>
      </c>
      <c r="L51" s="45" t="s">
        <v>288</v>
      </c>
      <c r="N51" s="264"/>
    </row>
    <row r="52" spans="1:14" s="3" customFormat="1" ht="12.2" customHeight="1" thickTop="1" x14ac:dyDescent="0.15">
      <c r="A52" s="38" t="s">
        <v>455</v>
      </c>
      <c r="B52" s="39" t="s">
        <v>289</v>
      </c>
      <c r="C52" s="6">
        <v>37</v>
      </c>
      <c r="D52" s="39" t="s">
        <v>653</v>
      </c>
      <c r="E52" s="39"/>
      <c r="F52" s="41">
        <f>F51+F32</f>
        <v>1371183.5</v>
      </c>
      <c r="G52" s="41">
        <f>G51+G32</f>
        <v>125983.57</v>
      </c>
      <c r="H52" s="41">
        <f>H51+H32</f>
        <v>101706</v>
      </c>
      <c r="I52" s="41">
        <f>I51+I32</f>
        <v>0</v>
      </c>
      <c r="J52" s="41">
        <f>J51+J32</f>
        <v>641559.1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4931113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4931113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492.41</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492.41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162.80000000000001</v>
      </c>
      <c r="G96" s="18">
        <v>4.08</v>
      </c>
      <c r="H96" s="18"/>
      <c r="I96" s="18"/>
      <c r="J96" s="18">
        <v>5784.2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42987.8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54572.79</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12800</v>
      </c>
      <c r="G110" s="18"/>
      <c r="H110" s="18"/>
      <c r="I110" s="18"/>
      <c r="J110" s="18">
        <v>-1020.82</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12962.8</v>
      </c>
      <c r="G111" s="41">
        <f>SUM(G96:G110)</f>
        <v>42991.880000000005</v>
      </c>
      <c r="H111" s="41">
        <f>SUM(H96:H110)</f>
        <v>54572.79</v>
      </c>
      <c r="I111" s="41">
        <f>SUM(I96:I110)</f>
        <v>0</v>
      </c>
      <c r="J111" s="41">
        <f>SUM(J96:J110)</f>
        <v>4763.38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4944568.21</v>
      </c>
      <c r="G112" s="41">
        <f>G60+G111</f>
        <v>42991.880000000005</v>
      </c>
      <c r="H112" s="41">
        <f>H60+H79+H94+H111</f>
        <v>54572.79</v>
      </c>
      <c r="I112" s="41">
        <f>I60+I111</f>
        <v>0</v>
      </c>
      <c r="J112" s="41">
        <f>J60+J111</f>
        <v>4763.38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4572131.9400000004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550135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3586.1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5125853.04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89923.26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410065.44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8211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5189.8500000000004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508199.7</v>
      </c>
      <c r="G136" s="41">
        <f>SUM(G123:G135)</f>
        <v>5189.8500000000004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5634052.7400000002</v>
      </c>
      <c r="G140" s="41">
        <f>G121+SUM(G136:G137)</f>
        <v>5189.8500000000004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298775.88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56609.58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264788.25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202453.98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18295.560000000001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8590.42</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18295.560000000001</v>
      </c>
      <c r="G163" s="41">
        <f>SUM(G150:G162)</f>
        <v>264788.25</v>
      </c>
      <c r="H163" s="41">
        <f>SUM(H150:H162)</f>
        <v>566429.8600000001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18295.560000000001</v>
      </c>
      <c r="G170" s="41">
        <f>G147+G163+SUM(G164:G169)</f>
        <v>264788.25</v>
      </c>
      <c r="H170" s="41">
        <f>H147+H163+SUM(H164:H169)</f>
        <v>566429.8600000001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12109.35</v>
      </c>
      <c r="H180" s="18"/>
      <c r="I180" s="18"/>
      <c r="J180" s="18">
        <v>3000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75215.48</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75215.48</v>
      </c>
      <c r="G184" s="41">
        <f>SUM(G180:G183)</f>
        <v>12109.35</v>
      </c>
      <c r="H184" s="41">
        <f>SUM(H180:H183)</f>
        <v>0</v>
      </c>
      <c r="I184" s="41">
        <f>SUM(I180:I183)</f>
        <v>0</v>
      </c>
      <c r="J184" s="41">
        <f>SUM(J180:J183)</f>
        <v>3000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75215.48</v>
      </c>
      <c r="G193" s="41">
        <f>G184+SUM(G189:G192)</f>
        <v>12109.35</v>
      </c>
      <c r="H193" s="41">
        <f>+H184+SUM(H189:H192)</f>
        <v>0</v>
      </c>
      <c r="I193" s="41">
        <f>I178+I184+SUM(I189:I192)</f>
        <v>0</v>
      </c>
      <c r="J193" s="41">
        <f>J184</f>
        <v>3000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10672131.99</v>
      </c>
      <c r="G194" s="47">
        <f>G112+G140+G170+G193</f>
        <v>325079.32999999996</v>
      </c>
      <c r="H194" s="47">
        <f>H112+H140+H170+H193</f>
        <v>621002.65000000014</v>
      </c>
      <c r="I194" s="47">
        <f>I112+I140+I170+I193</f>
        <v>0</v>
      </c>
      <c r="J194" s="47">
        <f>J112+J140+J193</f>
        <v>7763.38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1001361.94</v>
      </c>
      <c r="G198" s="18">
        <v>558031.28</v>
      </c>
      <c r="H198" s="18">
        <v>7131.39</v>
      </c>
      <c r="I198" s="18">
        <v>33285.99</v>
      </c>
      <c r="J198" s="18"/>
      <c r="K198" s="18">
        <v>6594.79</v>
      </c>
      <c r="L198" s="19">
        <f>SUM(F198:K198)</f>
        <v>1606405.39</v>
      </c>
      <c r="M198" s="8"/>
      <c r="N198" s="266"/>
    </row>
    <row r="199" spans="1:14" s="3" customFormat="1" ht="12.2" customHeight="1" x14ac:dyDescent="0.15">
      <c r="A199" s="1" t="s">
        <v>439</v>
      </c>
      <c r="B199" s="2" t="s">
        <v>341</v>
      </c>
      <c r="C199" s="2" t="s">
        <v>291</v>
      </c>
      <c r="D199" s="2" t="s">
        <v>431</v>
      </c>
      <c r="E199" s="6">
        <v>1200</v>
      </c>
      <c r="F199" s="18">
        <v>641402.14</v>
      </c>
      <c r="G199" s="18">
        <v>293728.64000000001</v>
      </c>
      <c r="H199" s="18">
        <v>189996.41</v>
      </c>
      <c r="I199" s="18">
        <v>666.62</v>
      </c>
      <c r="J199" s="18"/>
      <c r="K199" s="18">
        <v>677.5</v>
      </c>
      <c r="L199" s="19">
        <f>SUM(F199:K199)</f>
        <v>1126471.31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950</v>
      </c>
      <c r="G201" s="18">
        <v>237.49</v>
      </c>
      <c r="H201" s="18"/>
      <c r="I201" s="18"/>
      <c r="J201" s="18"/>
      <c r="K201" s="18"/>
      <c r="L201" s="19">
        <f>SUM(F201:K201)</f>
        <v>1187.49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162976.44</v>
      </c>
      <c r="G203" s="18">
        <v>91064.55</v>
      </c>
      <c r="H203" s="18">
        <v>385855.55</v>
      </c>
      <c r="I203" s="18">
        <v>1584.8</v>
      </c>
      <c r="J203" s="18"/>
      <c r="K203" s="18">
        <v>150</v>
      </c>
      <c r="L203" s="19">
        <f t="shared" ref="L203:L209" si="0">SUM(F203:K203)</f>
        <v>641631.34000000008</v>
      </c>
      <c r="M203" s="8"/>
      <c r="N203" s="266"/>
    </row>
    <row r="204" spans="1:14" s="3" customFormat="1" ht="12.2" customHeight="1" x14ac:dyDescent="0.15">
      <c r="A204" s="1" t="s">
        <v>443</v>
      </c>
      <c r="B204" s="2" t="s">
        <v>341</v>
      </c>
      <c r="C204" s="2" t="s">
        <v>295</v>
      </c>
      <c r="D204" s="2" t="s">
        <v>431</v>
      </c>
      <c r="E204" s="6">
        <v>2200</v>
      </c>
      <c r="F204" s="18">
        <v>128853.53</v>
      </c>
      <c r="G204" s="18">
        <v>63393.04</v>
      </c>
      <c r="H204" s="18">
        <v>33076.36</v>
      </c>
      <c r="I204" s="18">
        <v>32139.14</v>
      </c>
      <c r="J204" s="18">
        <v>26653.5</v>
      </c>
      <c r="K204" s="18">
        <v>518.99</v>
      </c>
      <c r="L204" s="19">
        <f t="shared" si="0"/>
        <v>284634.56</v>
      </c>
      <c r="M204" s="8"/>
      <c r="N204" s="266"/>
    </row>
    <row r="205" spans="1:14" s="3" customFormat="1" ht="12.2" customHeight="1" x14ac:dyDescent="0.15">
      <c r="A205" s="1" t="s">
        <v>444</v>
      </c>
      <c r="B205" s="2" t="s">
        <v>341</v>
      </c>
      <c r="C205" s="2" t="s">
        <v>296</v>
      </c>
      <c r="D205" s="2" t="s">
        <v>431</v>
      </c>
      <c r="E205" s="6">
        <v>2300</v>
      </c>
      <c r="F205" s="18">
        <v>119755.9</v>
      </c>
      <c r="G205" s="18">
        <v>43713.93</v>
      </c>
      <c r="H205" s="18">
        <v>27090.93</v>
      </c>
      <c r="I205" s="18">
        <v>1802.31</v>
      </c>
      <c r="J205" s="18"/>
      <c r="K205" s="18">
        <v>3464.43</v>
      </c>
      <c r="L205" s="19">
        <f t="shared" si="0"/>
        <v>195827.49999999997</v>
      </c>
      <c r="M205" s="8"/>
      <c r="N205" s="266"/>
    </row>
    <row r="206" spans="1:14" s="3" customFormat="1" ht="12.2" customHeight="1" x14ac:dyDescent="0.15">
      <c r="A206" s="1" t="s">
        <v>445</v>
      </c>
      <c r="B206" s="2" t="s">
        <v>341</v>
      </c>
      <c r="C206" s="2" t="s">
        <v>297</v>
      </c>
      <c r="D206" s="2" t="s">
        <v>431</v>
      </c>
      <c r="E206" s="6">
        <v>2400</v>
      </c>
      <c r="F206" s="18">
        <v>273835.58</v>
      </c>
      <c r="G206" s="18">
        <v>151989.39000000001</v>
      </c>
      <c r="H206" s="18">
        <v>13941.69</v>
      </c>
      <c r="I206" s="18">
        <v>3168.62</v>
      </c>
      <c r="J206" s="18"/>
      <c r="K206" s="18">
        <v>466.96</v>
      </c>
      <c r="L206" s="19">
        <f t="shared" si="0"/>
        <v>443402.24000000005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101340.5</v>
      </c>
      <c r="G208" s="18">
        <v>69674.13</v>
      </c>
      <c r="H208" s="18">
        <v>270063.07</v>
      </c>
      <c r="I208" s="18">
        <v>77640.56</v>
      </c>
      <c r="J208" s="18">
        <v>16983.57</v>
      </c>
      <c r="K208" s="18"/>
      <c r="L208" s="19">
        <f t="shared" si="0"/>
        <v>535701.82999999996</v>
      </c>
      <c r="M208" s="8"/>
      <c r="N208" s="266"/>
    </row>
    <row r="209" spans="1:14" s="3" customFormat="1" ht="12.2" customHeight="1" x14ac:dyDescent="0.15">
      <c r="A209" s="1" t="s">
        <v>448</v>
      </c>
      <c r="B209" s="2" t="s">
        <v>341</v>
      </c>
      <c r="C209" s="2" t="s">
        <v>300</v>
      </c>
      <c r="D209" s="2" t="s">
        <v>431</v>
      </c>
      <c r="E209" s="6">
        <v>2700</v>
      </c>
      <c r="F209" s="18"/>
      <c r="G209" s="18"/>
      <c r="H209" s="18">
        <v>193307.45</v>
      </c>
      <c r="I209" s="18"/>
      <c r="J209" s="18"/>
      <c r="K209" s="18"/>
      <c r="L209" s="19">
        <f t="shared" si="0"/>
        <v>193307.45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2430476.0299999998</v>
      </c>
      <c r="G212" s="41">
        <f t="shared" si="1"/>
        <v>1271832.4500000002</v>
      </c>
      <c r="H212" s="41">
        <f t="shared" si="1"/>
        <v>1120462.8499999999</v>
      </c>
      <c r="I212" s="41">
        <f t="shared" si="1"/>
        <v>150288.03999999998</v>
      </c>
      <c r="J212" s="41">
        <f t="shared" si="1"/>
        <v>43637.07</v>
      </c>
      <c r="K212" s="41">
        <f t="shared" si="1"/>
        <v>11872.669999999998</v>
      </c>
      <c r="L212" s="41">
        <f t="shared" si="1"/>
        <v>5028569.1100000003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283032.38</v>
      </c>
      <c r="G216" s="18">
        <v>132255.23000000001</v>
      </c>
      <c r="H216" s="18">
        <v>1972.81</v>
      </c>
      <c r="I216" s="18">
        <v>11587.59</v>
      </c>
      <c r="J216" s="18">
        <v>121.25</v>
      </c>
      <c r="K216" s="18">
        <v>1596.74</v>
      </c>
      <c r="L216" s="19">
        <f>SUM(F216:K216)</f>
        <v>430566</v>
      </c>
      <c r="M216" s="8"/>
      <c r="N216" s="266"/>
    </row>
    <row r="217" spans="1:14" s="3" customFormat="1" ht="12.2" customHeight="1" x14ac:dyDescent="0.15">
      <c r="A217" s="1" t="s">
        <v>439</v>
      </c>
      <c r="B217" s="2" t="s">
        <v>346</v>
      </c>
      <c r="C217" s="2" t="s">
        <v>291</v>
      </c>
      <c r="D217" s="2" t="s">
        <v>431</v>
      </c>
      <c r="E217" s="6">
        <v>1200</v>
      </c>
      <c r="F217" s="18">
        <v>172483.19</v>
      </c>
      <c r="G217" s="18">
        <v>55141.48</v>
      </c>
      <c r="H217" s="18">
        <v>198006.51</v>
      </c>
      <c r="I217" s="18">
        <v>346.56</v>
      </c>
      <c r="J217" s="18"/>
      <c r="K217" s="18">
        <v>231.85</v>
      </c>
      <c r="L217" s="19">
        <f>SUM(F217:K217)</f>
        <v>426209.59</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13761.25</v>
      </c>
      <c r="G219" s="18">
        <v>1325.31</v>
      </c>
      <c r="H219" s="18">
        <v>2707</v>
      </c>
      <c r="I219" s="18">
        <v>2122.56</v>
      </c>
      <c r="J219" s="18"/>
      <c r="K219" s="18">
        <v>590</v>
      </c>
      <c r="L219" s="19">
        <f>SUM(F219:K219)</f>
        <v>20506.12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81491.83</v>
      </c>
      <c r="G221" s="18">
        <v>44964.46</v>
      </c>
      <c r="H221" s="18">
        <v>26957.46</v>
      </c>
      <c r="I221" s="18">
        <v>913.79</v>
      </c>
      <c r="J221" s="18"/>
      <c r="K221" s="18"/>
      <c r="L221" s="19">
        <f t="shared" ref="L221:L227" si="2">SUM(F221:K221)</f>
        <v>154327.54</v>
      </c>
      <c r="M221" s="8"/>
      <c r="N221" s="266"/>
    </row>
    <row r="222" spans="1:14" s="3" customFormat="1" ht="12.2" customHeight="1" x14ac:dyDescent="0.15">
      <c r="A222" s="1" t="s">
        <v>443</v>
      </c>
      <c r="B222" s="2" t="s">
        <v>346</v>
      </c>
      <c r="C222" s="2" t="s">
        <v>295</v>
      </c>
      <c r="D222" s="2" t="s">
        <v>431</v>
      </c>
      <c r="E222" s="6">
        <v>2200</v>
      </c>
      <c r="F222" s="18">
        <v>38432.559999999998</v>
      </c>
      <c r="G222" s="18">
        <v>19279.48</v>
      </c>
      <c r="H222" s="18">
        <v>6934.89</v>
      </c>
      <c r="I222" s="18">
        <v>8611.85</v>
      </c>
      <c r="J222" s="18">
        <v>1882.26</v>
      </c>
      <c r="K222" s="18">
        <v>28</v>
      </c>
      <c r="L222" s="19">
        <f t="shared" si="2"/>
        <v>75169.039999999994</v>
      </c>
      <c r="M222" s="8"/>
      <c r="N222" s="266"/>
    </row>
    <row r="223" spans="1:14" s="3" customFormat="1" ht="12.2" customHeight="1" x14ac:dyDescent="0.15">
      <c r="A223" s="1" t="s">
        <v>444</v>
      </c>
      <c r="B223" s="2" t="s">
        <v>346</v>
      </c>
      <c r="C223" s="2" t="s">
        <v>296</v>
      </c>
      <c r="D223" s="2" t="s">
        <v>431</v>
      </c>
      <c r="E223" s="6">
        <v>2300</v>
      </c>
      <c r="F223" s="18">
        <v>32660.7</v>
      </c>
      <c r="G223" s="18">
        <v>11921.97</v>
      </c>
      <c r="H223" s="18">
        <v>7388.44</v>
      </c>
      <c r="I223" s="18">
        <v>491.55</v>
      </c>
      <c r="J223" s="18"/>
      <c r="K223" s="18">
        <v>944.84</v>
      </c>
      <c r="L223" s="19">
        <f t="shared" si="2"/>
        <v>53407.5</v>
      </c>
      <c r="M223" s="8"/>
      <c r="N223" s="266"/>
    </row>
    <row r="224" spans="1:14" s="3" customFormat="1" ht="12.2" customHeight="1" x14ac:dyDescent="0.15">
      <c r="A224" s="1" t="s">
        <v>445</v>
      </c>
      <c r="B224" s="2" t="s">
        <v>346</v>
      </c>
      <c r="C224" s="2" t="s">
        <v>297</v>
      </c>
      <c r="D224" s="2" t="s">
        <v>431</v>
      </c>
      <c r="E224" s="6">
        <v>2400</v>
      </c>
      <c r="F224" s="18">
        <v>66411.5</v>
      </c>
      <c r="G224" s="18">
        <v>36015.35</v>
      </c>
      <c r="H224" s="18">
        <v>5706.01</v>
      </c>
      <c r="I224" s="18">
        <v>2621.2199999999998</v>
      </c>
      <c r="J224" s="18"/>
      <c r="K224" s="18">
        <v>1207.5</v>
      </c>
      <c r="L224" s="19">
        <f t="shared" si="2"/>
        <v>111961.58</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48929.01</v>
      </c>
      <c r="G226" s="18">
        <v>33396.04</v>
      </c>
      <c r="H226" s="18">
        <v>87239.57</v>
      </c>
      <c r="I226" s="18">
        <v>52314.99</v>
      </c>
      <c r="J226" s="18">
        <v>1036.49</v>
      </c>
      <c r="K226" s="18"/>
      <c r="L226" s="19">
        <f t="shared" si="2"/>
        <v>222916.09999999998</v>
      </c>
      <c r="M226" s="8"/>
      <c r="N226" s="266"/>
    </row>
    <row r="227" spans="1:14" s="3" customFormat="1" ht="12.2" customHeight="1" x14ac:dyDescent="0.15">
      <c r="A227" s="1" t="s">
        <v>448</v>
      </c>
      <c r="B227" s="2" t="s">
        <v>346</v>
      </c>
      <c r="C227" s="2" t="s">
        <v>300</v>
      </c>
      <c r="D227" s="2" t="s">
        <v>431</v>
      </c>
      <c r="E227" s="6">
        <v>2700</v>
      </c>
      <c r="F227" s="18"/>
      <c r="G227" s="18"/>
      <c r="H227" s="18">
        <v>96036.14</v>
      </c>
      <c r="I227" s="18"/>
      <c r="J227" s="18"/>
      <c r="K227" s="18"/>
      <c r="L227" s="19">
        <f t="shared" si="2"/>
        <v>96036.14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737202.41999999993</v>
      </c>
      <c r="G230" s="41">
        <f>SUM(G216:G229)</f>
        <v>334299.31999999995</v>
      </c>
      <c r="H230" s="41">
        <f>SUM(H216:H229)</f>
        <v>432948.83000000007</v>
      </c>
      <c r="I230" s="41">
        <f>SUM(I216:I229)</f>
        <v>79010.11</v>
      </c>
      <c r="J230" s="41">
        <f>SUM(J216:J229)</f>
        <v>3040</v>
      </c>
      <c r="K230" s="41">
        <f t="shared" si="3"/>
        <v>4598.93</v>
      </c>
      <c r="L230" s="41">
        <f t="shared" si="3"/>
        <v>1591099.61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705862.63</v>
      </c>
      <c r="G234" s="18">
        <v>342391.03999999998</v>
      </c>
      <c r="H234" s="18">
        <v>21403.13</v>
      </c>
      <c r="I234" s="18">
        <v>40047.94</v>
      </c>
      <c r="J234" s="18">
        <v>225.21</v>
      </c>
      <c r="K234" s="18">
        <v>1599.37</v>
      </c>
      <c r="L234" s="19">
        <f>SUM(F234:K234)</f>
        <v>1111529.3199999998</v>
      </c>
      <c r="M234" s="8"/>
      <c r="N234" s="266"/>
    </row>
    <row r="235" spans="1:14" s="3" customFormat="1" ht="12.2" customHeight="1" x14ac:dyDescent="0.15">
      <c r="A235" s="1" t="s">
        <v>439</v>
      </c>
      <c r="B235" s="2" t="s">
        <v>350</v>
      </c>
      <c r="C235" s="2" t="s">
        <v>291</v>
      </c>
      <c r="D235" s="2" t="s">
        <v>431</v>
      </c>
      <c r="E235" s="6">
        <v>1200</v>
      </c>
      <c r="F235" s="18">
        <v>284986.23999999999</v>
      </c>
      <c r="G235" s="18">
        <v>118747.47</v>
      </c>
      <c r="H235" s="18">
        <v>378446.68</v>
      </c>
      <c r="I235" s="18">
        <v>160.09</v>
      </c>
      <c r="J235" s="18"/>
      <c r="K235" s="18">
        <v>445.65</v>
      </c>
      <c r="L235" s="19">
        <f>SUM(F235:K235)</f>
        <v>782786.12999999989</v>
      </c>
      <c r="M235" s="8"/>
      <c r="N235" s="266"/>
    </row>
    <row r="236" spans="1:14" s="3" customFormat="1" ht="12.2" customHeight="1" x14ac:dyDescent="0.15">
      <c r="A236" s="1" t="s">
        <v>440</v>
      </c>
      <c r="B236" s="2" t="s">
        <v>350</v>
      </c>
      <c r="C236" s="2" t="s">
        <v>292</v>
      </c>
      <c r="D236" s="2" t="s">
        <v>431</v>
      </c>
      <c r="E236" s="6">
        <v>1300</v>
      </c>
      <c r="F236" s="18"/>
      <c r="G236" s="18"/>
      <c r="H236" s="18">
        <v>24927.02</v>
      </c>
      <c r="I236" s="18"/>
      <c r="J236" s="18"/>
      <c r="K236" s="18"/>
      <c r="L236" s="19">
        <f>SUM(F236:K236)</f>
        <v>24927.02</v>
      </c>
      <c r="M236" s="8"/>
      <c r="N236" s="266"/>
    </row>
    <row r="237" spans="1:14" s="3" customFormat="1" ht="12.2" customHeight="1" x14ac:dyDescent="0.15">
      <c r="A237" s="1" t="s">
        <v>441</v>
      </c>
      <c r="B237" s="2" t="s">
        <v>350</v>
      </c>
      <c r="C237" s="2" t="s">
        <v>293</v>
      </c>
      <c r="D237" s="2" t="s">
        <v>431</v>
      </c>
      <c r="E237" s="6">
        <v>1400</v>
      </c>
      <c r="F237" s="18">
        <v>40138.75</v>
      </c>
      <c r="G237" s="18">
        <v>5066.2700000000004</v>
      </c>
      <c r="H237" s="18">
        <v>13197</v>
      </c>
      <c r="I237" s="18">
        <v>13962.34</v>
      </c>
      <c r="J237" s="18"/>
      <c r="K237" s="18">
        <v>4424</v>
      </c>
      <c r="L237" s="19">
        <f>SUM(F237:K237)</f>
        <v>76788.36</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148537.25</v>
      </c>
      <c r="G239" s="18">
        <v>82600.990000000005</v>
      </c>
      <c r="H239" s="18">
        <v>38208.71</v>
      </c>
      <c r="I239" s="18">
        <v>3234.39</v>
      </c>
      <c r="J239" s="18"/>
      <c r="K239" s="18">
        <v>727</v>
      </c>
      <c r="L239" s="19">
        <f t="shared" ref="L239:L245" si="4">SUM(F239:K239)</f>
        <v>273308.34000000003</v>
      </c>
      <c r="M239" s="8"/>
      <c r="N239" s="266"/>
    </row>
    <row r="240" spans="1:14" s="3" customFormat="1" ht="12.2" customHeight="1" x14ac:dyDescent="0.15">
      <c r="A240" s="1" t="s">
        <v>443</v>
      </c>
      <c r="B240" s="2" t="s">
        <v>350</v>
      </c>
      <c r="C240" s="2" t="s">
        <v>295</v>
      </c>
      <c r="D240" s="2" t="s">
        <v>431</v>
      </c>
      <c r="E240" s="6">
        <v>2200</v>
      </c>
      <c r="F240" s="18">
        <v>73423.839999999997</v>
      </c>
      <c r="G240" s="18">
        <v>40217.83</v>
      </c>
      <c r="H240" s="18">
        <v>14418.98</v>
      </c>
      <c r="I240" s="18">
        <v>16343.98</v>
      </c>
      <c r="J240" s="18">
        <v>3543.24</v>
      </c>
      <c r="K240" s="18">
        <v>51.99</v>
      </c>
      <c r="L240" s="19">
        <f t="shared" si="4"/>
        <v>147999.85999999999</v>
      </c>
      <c r="M240" s="8"/>
      <c r="N240" s="266"/>
    </row>
    <row r="241" spans="1:14" s="3" customFormat="1" ht="12.2" customHeight="1" x14ac:dyDescent="0.15">
      <c r="A241" s="1" t="s">
        <v>444</v>
      </c>
      <c r="B241" s="2" t="s">
        <v>350</v>
      </c>
      <c r="C241" s="2" t="s">
        <v>296</v>
      </c>
      <c r="D241" s="2" t="s">
        <v>431</v>
      </c>
      <c r="E241" s="6">
        <v>2300</v>
      </c>
      <c r="F241" s="18">
        <v>65321.4</v>
      </c>
      <c r="G241" s="18">
        <v>23843.96</v>
      </c>
      <c r="H241" s="18">
        <v>14776.88</v>
      </c>
      <c r="I241" s="18">
        <v>983.08</v>
      </c>
      <c r="J241" s="18"/>
      <c r="K241" s="18">
        <v>1889.7</v>
      </c>
      <c r="L241" s="19">
        <f t="shared" si="4"/>
        <v>106815.02</v>
      </c>
      <c r="M241" s="8"/>
      <c r="N241" s="266"/>
    </row>
    <row r="242" spans="1:14" s="3" customFormat="1" ht="12.2" customHeight="1" x14ac:dyDescent="0.15">
      <c r="A242" s="1" t="s">
        <v>445</v>
      </c>
      <c r="B242" s="2" t="s">
        <v>350</v>
      </c>
      <c r="C242" s="2" t="s">
        <v>297</v>
      </c>
      <c r="D242" s="2" t="s">
        <v>431</v>
      </c>
      <c r="E242" s="6">
        <v>2400</v>
      </c>
      <c r="F242" s="18">
        <v>122312.99</v>
      </c>
      <c r="G242" s="18">
        <v>66837.61</v>
      </c>
      <c r="H242" s="18">
        <v>13184.99</v>
      </c>
      <c r="I242" s="18">
        <v>7700.26</v>
      </c>
      <c r="J242" s="18"/>
      <c r="K242" s="18">
        <v>2283.9499999999998</v>
      </c>
      <c r="L242" s="19">
        <f t="shared" si="4"/>
        <v>212319.80000000002</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91329.84</v>
      </c>
      <c r="G244" s="18">
        <v>62002.239999999998</v>
      </c>
      <c r="H244" s="18">
        <v>139596.32999999999</v>
      </c>
      <c r="I244" s="18">
        <v>120354.23</v>
      </c>
      <c r="J244" s="18">
        <v>1925.61</v>
      </c>
      <c r="K244" s="18"/>
      <c r="L244" s="19">
        <f t="shared" si="4"/>
        <v>415208.24999999994</v>
      </c>
      <c r="M244" s="8"/>
      <c r="N244" s="266"/>
    </row>
    <row r="245" spans="1:14" s="3" customFormat="1" ht="12.2" customHeight="1" x14ac:dyDescent="0.15">
      <c r="A245" s="1" t="s">
        <v>448</v>
      </c>
      <c r="B245" s="2" t="s">
        <v>350</v>
      </c>
      <c r="C245" s="2" t="s">
        <v>300</v>
      </c>
      <c r="D245" s="2" t="s">
        <v>431</v>
      </c>
      <c r="E245" s="6">
        <v>2700</v>
      </c>
      <c r="F245" s="18"/>
      <c r="G245" s="18"/>
      <c r="H245" s="18">
        <v>156608.13</v>
      </c>
      <c r="I245" s="18"/>
      <c r="J245" s="18"/>
      <c r="K245" s="18"/>
      <c r="L245" s="19">
        <f t="shared" si="4"/>
        <v>156608.13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1531912.9400000002</v>
      </c>
      <c r="G248" s="41">
        <f t="shared" si="5"/>
        <v>741707.40999999992</v>
      </c>
      <c r="H248" s="41">
        <f t="shared" si="5"/>
        <v>814767.85</v>
      </c>
      <c r="I248" s="41">
        <f t="shared" si="5"/>
        <v>202786.31</v>
      </c>
      <c r="J248" s="41">
        <f t="shared" si="5"/>
        <v>5694.0599999999995</v>
      </c>
      <c r="K248" s="41">
        <f t="shared" si="5"/>
        <v>11421.66</v>
      </c>
      <c r="L248" s="41">
        <f t="shared" si="5"/>
        <v>3308290.2299999995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7000</v>
      </c>
      <c r="G251" s="18"/>
      <c r="H251" s="18"/>
      <c r="I251" s="18"/>
      <c r="J251" s="18"/>
      <c r="K251" s="18"/>
      <c r="L251" s="19">
        <f t="shared" ref="L251:L256" si="6">SUM(F251:K251)</f>
        <v>7000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7000</v>
      </c>
      <c r="G257" s="41">
        <f t="shared" si="7"/>
        <v>0</v>
      </c>
      <c r="H257" s="41">
        <f t="shared" si="7"/>
        <v>0</v>
      </c>
      <c r="I257" s="41">
        <f t="shared" si="7"/>
        <v>0</v>
      </c>
      <c r="J257" s="41">
        <f t="shared" si="7"/>
        <v>0</v>
      </c>
      <c r="K257" s="41">
        <f t="shared" si="7"/>
        <v>0</v>
      </c>
      <c r="L257" s="41">
        <f>SUM(F257:K257)</f>
        <v>7000</v>
      </c>
      <c r="M257" s="8"/>
      <c r="N257" s="266"/>
    </row>
    <row r="258" spans="1:14" s="3" customFormat="1" ht="12.2" customHeight="1" thickTop="1" x14ac:dyDescent="0.15">
      <c r="A258" s="38" t="s">
        <v>462</v>
      </c>
      <c r="B258" s="40">
        <v>10</v>
      </c>
      <c r="C258" s="40">
        <v>8</v>
      </c>
      <c r="D258" s="39" t="s">
        <v>431</v>
      </c>
      <c r="E258" s="40"/>
      <c r="F258" s="41">
        <f t="shared" ref="F258:L258" si="8">F212+F230+F248+F257</f>
        <v>4706591.3899999997</v>
      </c>
      <c r="G258" s="41">
        <f t="shared" si="8"/>
        <v>2347839.1799999997</v>
      </c>
      <c r="H258" s="41">
        <f t="shared" si="8"/>
        <v>2368179.5299999998</v>
      </c>
      <c r="I258" s="41">
        <f t="shared" si="8"/>
        <v>432084.45999999996</v>
      </c>
      <c r="J258" s="41">
        <f t="shared" si="8"/>
        <v>52371.13</v>
      </c>
      <c r="K258" s="41">
        <f t="shared" si="8"/>
        <v>27893.26</v>
      </c>
      <c r="L258" s="41">
        <f t="shared" si="8"/>
        <v>9934958.9499999993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265000</v>
      </c>
      <c r="L261" s="19">
        <f>SUM(F261:K261)</f>
        <v>265000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15237.5</v>
      </c>
      <c r="L262" s="19">
        <f>SUM(F262:K262)</f>
        <v>15237.5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12109.35</v>
      </c>
      <c r="L264" s="19">
        <f>SUM(F264:K264)</f>
        <v>12109.35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v>
      </c>
      <c r="L267" s="19">
        <f t="shared" si="9"/>
        <v>3000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295346.84999999998</v>
      </c>
      <c r="L271" s="41">
        <f t="shared" si="9"/>
        <v>295346.84999999998</v>
      </c>
      <c r="M271" s="8"/>
      <c r="N271" s="266"/>
    </row>
    <row r="272" spans="1:14" s="34" customFormat="1" ht="12.2" customHeight="1" thickTop="1" x14ac:dyDescent="0.2">
      <c r="A272" s="43" t="s">
        <v>464</v>
      </c>
      <c r="B272" s="40">
        <v>10</v>
      </c>
      <c r="C272" s="40">
        <v>18</v>
      </c>
      <c r="D272" s="39" t="s">
        <v>431</v>
      </c>
      <c r="E272" s="40"/>
      <c r="F272" s="42">
        <f t="shared" ref="F272:L272" si="11">F258+F271</f>
        <v>4706591.3899999997</v>
      </c>
      <c r="G272" s="42">
        <f t="shared" si="11"/>
        <v>2347839.1799999997</v>
      </c>
      <c r="H272" s="42">
        <f t="shared" si="11"/>
        <v>2368179.5299999998</v>
      </c>
      <c r="I272" s="42">
        <f t="shared" si="11"/>
        <v>432084.45999999996</v>
      </c>
      <c r="J272" s="42">
        <f t="shared" si="11"/>
        <v>52371.13</v>
      </c>
      <c r="K272" s="42">
        <f t="shared" si="11"/>
        <v>323240.11</v>
      </c>
      <c r="L272" s="42">
        <f t="shared" si="11"/>
        <v>10230305.799999999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111330.63</v>
      </c>
      <c r="G277" s="18">
        <v>51272.3</v>
      </c>
      <c r="H277" s="18">
        <v>1895</v>
      </c>
      <c r="I277" s="18">
        <v>63113.88</v>
      </c>
      <c r="J277" s="18">
        <v>1739.73</v>
      </c>
      <c r="K277" s="18">
        <v>1466.16</v>
      </c>
      <c r="L277" s="19">
        <f>SUM(F277:K277)</f>
        <v>230817.7</v>
      </c>
      <c r="M277" s="8"/>
      <c r="N277" s="266"/>
    </row>
    <row r="278" spans="1:14" s="3" customFormat="1" ht="12.2" customHeight="1" x14ac:dyDescent="0.15">
      <c r="A278" s="1" t="s">
        <v>439</v>
      </c>
      <c r="B278" s="2" t="s">
        <v>357</v>
      </c>
      <c r="C278" s="2" t="s">
        <v>291</v>
      </c>
      <c r="D278" s="2" t="s">
        <v>431</v>
      </c>
      <c r="E278" s="6">
        <v>1200</v>
      </c>
      <c r="F278" s="18">
        <v>12548.84</v>
      </c>
      <c r="G278" s="18">
        <v>4709.83</v>
      </c>
      <c r="H278" s="18">
        <v>8560</v>
      </c>
      <c r="I278" s="18">
        <v>7097.93</v>
      </c>
      <c r="J278" s="18"/>
      <c r="K278" s="18"/>
      <c r="L278" s="19">
        <f>SUM(F278:K278)</f>
        <v>32916.6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4973.3</v>
      </c>
      <c r="G280" s="18">
        <v>1119.1300000000001</v>
      </c>
      <c r="H280" s="18"/>
      <c r="I280" s="18"/>
      <c r="J280" s="18"/>
      <c r="K280" s="18"/>
      <c r="L280" s="19">
        <f>SUM(F280:K280)</f>
        <v>6092.43</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39389.660000000003</v>
      </c>
      <c r="G282" s="18">
        <v>27917.86</v>
      </c>
      <c r="H282" s="18"/>
      <c r="I282" s="18">
        <v>3806.28</v>
      </c>
      <c r="J282" s="18"/>
      <c r="K282" s="18"/>
      <c r="L282" s="19">
        <f t="shared" ref="L282:L288" si="12">SUM(F282:K282)</f>
        <v>71113.8</v>
      </c>
      <c r="M282" s="8"/>
      <c r="N282" s="266"/>
    </row>
    <row r="283" spans="1:14" s="3" customFormat="1" ht="12.2" customHeight="1" x14ac:dyDescent="0.15">
      <c r="A283" s="1" t="s">
        <v>443</v>
      </c>
      <c r="B283" s="2" t="s">
        <v>357</v>
      </c>
      <c r="C283" s="2" t="s">
        <v>295</v>
      </c>
      <c r="D283" s="2" t="s">
        <v>431</v>
      </c>
      <c r="E283" s="6">
        <v>2200</v>
      </c>
      <c r="F283" s="18">
        <v>9742.2800000000007</v>
      </c>
      <c r="G283" s="18">
        <v>2315.58</v>
      </c>
      <c r="H283" s="18">
        <v>14403.54</v>
      </c>
      <c r="I283" s="18">
        <v>10866.56</v>
      </c>
      <c r="J283" s="18">
        <v>30784.63</v>
      </c>
      <c r="K283" s="18"/>
      <c r="L283" s="19">
        <f t="shared" si="12"/>
        <v>68112.59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v>34616.839999999997</v>
      </c>
      <c r="G285" s="18">
        <v>8756.4699999999993</v>
      </c>
      <c r="H285" s="18">
        <v>447.62</v>
      </c>
      <c r="I285" s="18"/>
      <c r="J285" s="18"/>
      <c r="K285" s="18"/>
      <c r="L285" s="19">
        <f t="shared" si="12"/>
        <v>43820.93</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785.42</v>
      </c>
      <c r="J287" s="18"/>
      <c r="K287" s="18"/>
      <c r="L287" s="19">
        <f t="shared" si="12"/>
        <v>785.42</v>
      </c>
      <c r="M287" s="8"/>
      <c r="N287" s="266"/>
    </row>
    <row r="288" spans="1:14" s="3" customFormat="1" ht="12.2" customHeight="1" x14ac:dyDescent="0.15">
      <c r="A288" s="1" t="s">
        <v>448</v>
      </c>
      <c r="B288" s="2" t="s">
        <v>357</v>
      </c>
      <c r="C288" s="2" t="s">
        <v>300</v>
      </c>
      <c r="D288" s="2" t="s">
        <v>431</v>
      </c>
      <c r="E288" s="6">
        <v>2700</v>
      </c>
      <c r="F288" s="18"/>
      <c r="G288" s="18"/>
      <c r="H288" s="18">
        <v>1760</v>
      </c>
      <c r="I288" s="18"/>
      <c r="J288" s="18"/>
      <c r="K288" s="18"/>
      <c r="L288" s="19">
        <f t="shared" si="12"/>
        <v>1760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212601.55</v>
      </c>
      <c r="G291" s="42">
        <f t="shared" si="13"/>
        <v>96091.17</v>
      </c>
      <c r="H291" s="42">
        <f t="shared" si="13"/>
        <v>27066.16</v>
      </c>
      <c r="I291" s="42">
        <f t="shared" si="13"/>
        <v>85670.069999999992</v>
      </c>
      <c r="J291" s="42">
        <f t="shared" si="13"/>
        <v>32524.36</v>
      </c>
      <c r="K291" s="42">
        <f t="shared" si="13"/>
        <v>1466.16</v>
      </c>
      <c r="L291" s="41">
        <f t="shared" si="13"/>
        <v>455419.47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v>28.16</v>
      </c>
      <c r="J296" s="18"/>
      <c r="K296" s="18"/>
      <c r="L296" s="19">
        <f>SUM(F296:K296)</f>
        <v>28.16</v>
      </c>
      <c r="M296" s="8"/>
      <c r="N296" s="266"/>
    </row>
    <row r="297" spans="1:14" s="3" customFormat="1" ht="12.2" customHeight="1" x14ac:dyDescent="0.15">
      <c r="A297" s="1" t="s">
        <v>439</v>
      </c>
      <c r="B297" s="2" t="s">
        <v>358</v>
      </c>
      <c r="C297" s="2" t="s">
        <v>291</v>
      </c>
      <c r="D297" s="2" t="s">
        <v>431</v>
      </c>
      <c r="E297" s="6">
        <v>1200</v>
      </c>
      <c r="F297" s="18">
        <v>3389.66</v>
      </c>
      <c r="G297" s="18">
        <v>1517.23</v>
      </c>
      <c r="H297" s="18"/>
      <c r="I297" s="18">
        <v>566.78</v>
      </c>
      <c r="J297" s="18"/>
      <c r="K297" s="18"/>
      <c r="L297" s="19">
        <f>SUM(F297:K297)</f>
        <v>5473.6699999999992</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8490.7900000000009</v>
      </c>
      <c r="G301" s="18">
        <v>5894.77</v>
      </c>
      <c r="H301" s="18"/>
      <c r="I301" s="18">
        <v>763.47</v>
      </c>
      <c r="J301" s="18"/>
      <c r="K301" s="18"/>
      <c r="L301" s="19">
        <f t="shared" ref="L301:L307" si="14">SUM(F301:K301)</f>
        <v>15149.03</v>
      </c>
      <c r="M301" s="8"/>
      <c r="N301" s="266"/>
    </row>
    <row r="302" spans="1:14" s="3" customFormat="1" ht="12.2" customHeight="1" x14ac:dyDescent="0.15">
      <c r="A302" s="1" t="s">
        <v>443</v>
      </c>
      <c r="B302" s="2" t="s">
        <v>358</v>
      </c>
      <c r="C302" s="2" t="s">
        <v>295</v>
      </c>
      <c r="D302" s="2" t="s">
        <v>431</v>
      </c>
      <c r="E302" s="6">
        <v>2200</v>
      </c>
      <c r="F302" s="18">
        <v>2869.06</v>
      </c>
      <c r="G302" s="18">
        <v>684.99</v>
      </c>
      <c r="H302" s="18">
        <v>15585.03</v>
      </c>
      <c r="I302" s="18">
        <v>1296.68</v>
      </c>
      <c r="J302" s="18">
        <v>1072.22</v>
      </c>
      <c r="K302" s="18"/>
      <c r="L302" s="19">
        <f t="shared" si="14"/>
        <v>21507.980000000003</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v>274.89999999999998</v>
      </c>
      <c r="J306" s="18"/>
      <c r="K306" s="18"/>
      <c r="L306" s="19">
        <f t="shared" si="14"/>
        <v>274.89999999999998</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14749.51</v>
      </c>
      <c r="G310" s="42">
        <f t="shared" si="15"/>
        <v>8096.99</v>
      </c>
      <c r="H310" s="42">
        <f t="shared" si="15"/>
        <v>15585.03</v>
      </c>
      <c r="I310" s="42">
        <f t="shared" si="15"/>
        <v>2929.9900000000002</v>
      </c>
      <c r="J310" s="42">
        <f t="shared" si="15"/>
        <v>1072.22</v>
      </c>
      <c r="K310" s="42">
        <f t="shared" si="15"/>
        <v>0</v>
      </c>
      <c r="L310" s="41">
        <f t="shared" si="15"/>
        <v>42433.740000000005</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3925</v>
      </c>
      <c r="G315" s="18">
        <v>535.73</v>
      </c>
      <c r="H315" s="18">
        <v>28.42</v>
      </c>
      <c r="I315" s="18">
        <v>922.26</v>
      </c>
      <c r="J315" s="18"/>
      <c r="K315" s="18"/>
      <c r="L315" s="19">
        <f>SUM(F315:K315)</f>
        <v>5411.41</v>
      </c>
      <c r="M315" s="8"/>
      <c r="N315" s="266"/>
    </row>
    <row r="316" spans="1:14" s="3" customFormat="1" ht="12.2" customHeight="1" x14ac:dyDescent="0.15">
      <c r="A316" s="1" t="s">
        <v>439</v>
      </c>
      <c r="B316" s="2" t="s">
        <v>359</v>
      </c>
      <c r="C316" s="2" t="s">
        <v>291</v>
      </c>
      <c r="D316" s="2" t="s">
        <v>431</v>
      </c>
      <c r="E316" s="6">
        <v>1200</v>
      </c>
      <c r="F316" s="18">
        <v>34078.49</v>
      </c>
      <c r="G316" s="18">
        <v>7609.03</v>
      </c>
      <c r="H316" s="18"/>
      <c r="I316" s="18">
        <v>1052.5899999999999</v>
      </c>
      <c r="J316" s="18"/>
      <c r="K316" s="18"/>
      <c r="L316" s="19">
        <f>SUM(F316:K316)</f>
        <v>42740.109999999993</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11000</v>
      </c>
      <c r="G318" s="18">
        <v>2459.89</v>
      </c>
      <c r="H318" s="18">
        <v>1019</v>
      </c>
      <c r="I318" s="18">
        <v>717.44</v>
      </c>
      <c r="J318" s="18"/>
      <c r="K318" s="18"/>
      <c r="L318" s="19">
        <f>SUM(F318:K318)</f>
        <v>15196.33</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18263.849999999999</v>
      </c>
      <c r="G320" s="18">
        <v>12174.64</v>
      </c>
      <c r="H320" s="18"/>
      <c r="I320" s="18">
        <v>1692.85</v>
      </c>
      <c r="J320" s="18"/>
      <c r="K320" s="18"/>
      <c r="L320" s="19">
        <f t="shared" ref="L320:L326" si="16">SUM(F320:K320)</f>
        <v>32131.339999999997</v>
      </c>
      <c r="M320" s="8"/>
      <c r="N320" s="266"/>
    </row>
    <row r="321" spans="1:14" s="3" customFormat="1" ht="12.2" customHeight="1" x14ac:dyDescent="0.15">
      <c r="A321" s="1" t="s">
        <v>443</v>
      </c>
      <c r="B321" s="2" t="s">
        <v>359</v>
      </c>
      <c r="C321" s="2" t="s">
        <v>295</v>
      </c>
      <c r="D321" s="2" t="s">
        <v>431</v>
      </c>
      <c r="E321" s="6">
        <v>2200</v>
      </c>
      <c r="F321" s="18">
        <v>5328.28</v>
      </c>
      <c r="G321" s="18">
        <v>1272.1600000000001</v>
      </c>
      <c r="H321" s="18">
        <v>10900.1</v>
      </c>
      <c r="I321" s="18">
        <v>4604.1099999999997</v>
      </c>
      <c r="J321" s="18">
        <v>1991.28</v>
      </c>
      <c r="K321" s="18"/>
      <c r="L321" s="19">
        <f t="shared" si="16"/>
        <v>24095.93</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v>510.52</v>
      </c>
      <c r="J325" s="18"/>
      <c r="K325" s="18"/>
      <c r="L325" s="19">
        <f t="shared" si="16"/>
        <v>510.52</v>
      </c>
      <c r="M325" s="8"/>
      <c r="N325" s="266"/>
    </row>
    <row r="326" spans="1:14" s="3" customFormat="1" ht="12.2" customHeight="1" x14ac:dyDescent="0.15">
      <c r="A326" s="1" t="s">
        <v>448</v>
      </c>
      <c r="B326" s="2" t="s">
        <v>359</v>
      </c>
      <c r="C326" s="2" t="s">
        <v>300</v>
      </c>
      <c r="D326" s="2" t="s">
        <v>431</v>
      </c>
      <c r="E326" s="6">
        <v>2700</v>
      </c>
      <c r="F326" s="18"/>
      <c r="G326" s="18"/>
      <c r="H326" s="18">
        <v>3063.8</v>
      </c>
      <c r="I326" s="18"/>
      <c r="J326" s="18"/>
      <c r="K326" s="18"/>
      <c r="L326" s="19">
        <f t="shared" si="16"/>
        <v>3063.8</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72595.62</v>
      </c>
      <c r="G329" s="42">
        <f t="shared" si="17"/>
        <v>24051.45</v>
      </c>
      <c r="H329" s="42">
        <f t="shared" si="17"/>
        <v>15011.32</v>
      </c>
      <c r="I329" s="42">
        <f t="shared" si="17"/>
        <v>9499.77</v>
      </c>
      <c r="J329" s="42">
        <f t="shared" si="17"/>
        <v>1991.28</v>
      </c>
      <c r="K329" s="42">
        <f t="shared" si="17"/>
        <v>0</v>
      </c>
      <c r="L329" s="41">
        <f t="shared" si="17"/>
        <v>123149.44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299946.68</v>
      </c>
      <c r="G339" s="41">
        <f t="shared" si="20"/>
        <v>128239.61</v>
      </c>
      <c r="H339" s="41">
        <f t="shared" si="20"/>
        <v>57662.51</v>
      </c>
      <c r="I339" s="41">
        <f t="shared" si="20"/>
        <v>98099.83</v>
      </c>
      <c r="J339" s="41">
        <f t="shared" si="20"/>
        <v>35587.86</v>
      </c>
      <c r="K339" s="41">
        <f t="shared" si="20"/>
        <v>1466.16</v>
      </c>
      <c r="L339" s="41">
        <f t="shared" si="20"/>
        <v>621002.64999999991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299946.68</v>
      </c>
      <c r="G353" s="41">
        <f>G339</f>
        <v>128239.61</v>
      </c>
      <c r="H353" s="41">
        <f>H339</f>
        <v>57662.51</v>
      </c>
      <c r="I353" s="41">
        <f>I339</f>
        <v>98099.83</v>
      </c>
      <c r="J353" s="41">
        <f>J339</f>
        <v>35587.86</v>
      </c>
      <c r="K353" s="47">
        <f>K339+K352</f>
        <v>1466.16</v>
      </c>
      <c r="L353" s="41">
        <f>L339+L352</f>
        <v>621002.64999999991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132889.04999999999</v>
      </c>
      <c r="I359" s="18">
        <v>12938.54</v>
      </c>
      <c r="J359" s="18"/>
      <c r="K359" s="18"/>
      <c r="L359" s="13">
        <f>SUM(F359:K359)</f>
        <v>145827.59</v>
      </c>
      <c r="M359" s="8"/>
      <c r="N359" s="266"/>
    </row>
    <row r="360" spans="1:22" s="3" customFormat="1" ht="12.2" customHeight="1" x14ac:dyDescent="0.15">
      <c r="A360" s="1" t="s">
        <v>542</v>
      </c>
      <c r="B360" s="2" t="s">
        <v>366</v>
      </c>
      <c r="C360" s="6">
        <v>2</v>
      </c>
      <c r="D360" s="2" t="s">
        <v>431</v>
      </c>
      <c r="E360" s="6"/>
      <c r="F360" s="18"/>
      <c r="G360" s="18"/>
      <c r="H360" s="18">
        <v>53155.62</v>
      </c>
      <c r="I360" s="18">
        <v>4224.82</v>
      </c>
      <c r="J360" s="18"/>
      <c r="K360" s="18"/>
      <c r="L360" s="19">
        <f>SUM(F360:K360)</f>
        <v>57380.44</v>
      </c>
      <c r="M360" s="8"/>
      <c r="N360" s="266"/>
    </row>
    <row r="361" spans="1:22" s="3" customFormat="1" ht="12.2" customHeight="1" x14ac:dyDescent="0.15">
      <c r="A361" s="3" t="s">
        <v>543</v>
      </c>
      <c r="B361" s="2" t="s">
        <v>366</v>
      </c>
      <c r="C361" s="6">
        <v>3</v>
      </c>
      <c r="D361" s="2" t="s">
        <v>431</v>
      </c>
      <c r="E361" s="6"/>
      <c r="F361" s="18"/>
      <c r="G361" s="18"/>
      <c r="H361" s="18">
        <v>109264.33</v>
      </c>
      <c r="I361" s="18">
        <v>9241.81</v>
      </c>
      <c r="J361" s="18"/>
      <c r="K361" s="18"/>
      <c r="L361" s="19">
        <f>SUM(F361:K361)</f>
        <v>118506.14</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295309</v>
      </c>
      <c r="I363" s="47">
        <f t="shared" si="22"/>
        <v>26405.17</v>
      </c>
      <c r="J363" s="47">
        <f t="shared" si="22"/>
        <v>0</v>
      </c>
      <c r="K363" s="47">
        <f t="shared" si="22"/>
        <v>0</v>
      </c>
      <c r="L363" s="47">
        <f t="shared" si="22"/>
        <v>321714.17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15168.53</v>
      </c>
      <c r="G368" s="18">
        <v>3539.32</v>
      </c>
      <c r="H368" s="18">
        <v>6573.04</v>
      </c>
      <c r="I368" s="56">
        <f>SUM(F368:H368)</f>
        <v>25280.890000000003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1073.32</v>
      </c>
      <c r="G369" s="63">
        <v>17.84</v>
      </c>
      <c r="H369" s="63">
        <v>33.119999999999997</v>
      </c>
      <c r="I369" s="56">
        <f>SUM(F369:H369)</f>
        <v>1124.2799999999997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16241.85</v>
      </c>
      <c r="G370" s="47">
        <f>SUM(G368:G369)</f>
        <v>3557.1600000000003</v>
      </c>
      <c r="H370" s="47">
        <f>SUM(H368:H369)</f>
        <v>6606.16</v>
      </c>
      <c r="I370" s="47">
        <f>SUM(I368:I369)</f>
        <v>26405.170000000002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v>44.14</v>
      </c>
      <c r="I392" s="18"/>
      <c r="J392" s="24" t="s">
        <v>288</v>
      </c>
      <c r="K392" s="24" t="s">
        <v>288</v>
      </c>
      <c r="L392" s="56">
        <f t="shared" si="25"/>
        <v>44.14</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44.14</v>
      </c>
      <c r="I394" s="65">
        <f>SUM(I388:I393)</f>
        <v>0</v>
      </c>
      <c r="J394" s="45" t="s">
        <v>288</v>
      </c>
      <c r="K394" s="45" t="s">
        <v>288</v>
      </c>
      <c r="L394" s="47">
        <f>SUM(L388:L393)</f>
        <v>44.14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523.49</v>
      </c>
      <c r="I397" s="18"/>
      <c r="J397" s="24" t="s">
        <v>288</v>
      </c>
      <c r="K397" s="24" t="s">
        <v>288</v>
      </c>
      <c r="L397" s="56">
        <f t="shared" si="26"/>
        <v>523.49</v>
      </c>
      <c r="M397" s="8"/>
      <c r="N397" s="266"/>
    </row>
    <row r="398" spans="1:14" s="3" customFormat="1" ht="12.2" customHeight="1" x14ac:dyDescent="0.15">
      <c r="A398" s="79" t="s">
        <v>515</v>
      </c>
      <c r="B398" s="2" t="s">
        <v>381</v>
      </c>
      <c r="C398" s="6">
        <v>10</v>
      </c>
      <c r="D398" s="2" t="s">
        <v>432</v>
      </c>
      <c r="E398" s="6"/>
      <c r="F398" s="18"/>
      <c r="G398" s="18"/>
      <c r="H398" s="18">
        <v>595.62</v>
      </c>
      <c r="I398" s="18"/>
      <c r="J398" s="24" t="s">
        <v>288</v>
      </c>
      <c r="K398" s="24" t="s">
        <v>288</v>
      </c>
      <c r="L398" s="56">
        <f t="shared" si="26"/>
        <v>595.62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3000</v>
      </c>
      <c r="H401" s="18">
        <v>3.17</v>
      </c>
      <c r="I401" s="18">
        <v>8196.9599999999991</v>
      </c>
      <c r="J401" s="24" t="s">
        <v>288</v>
      </c>
      <c r="K401" s="24" t="s">
        <v>288</v>
      </c>
      <c r="L401" s="56">
        <f t="shared" si="26"/>
        <v>11200.13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3000</v>
      </c>
      <c r="H402" s="47">
        <f>SUM(H396:H401)</f>
        <v>1122.2800000000002</v>
      </c>
      <c r="I402" s="47">
        <f>SUM(I396:I401)</f>
        <v>8196.9599999999991</v>
      </c>
      <c r="J402" s="45" t="s">
        <v>288</v>
      </c>
      <c r="K402" s="45" t="s">
        <v>288</v>
      </c>
      <c r="L402" s="47">
        <f>SUM(L396:L401)</f>
        <v>12319.24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t="s">
        <v>1645</v>
      </c>
      <c r="B404" s="2" t="s">
        <v>381</v>
      </c>
      <c r="C404" s="6">
        <v>15</v>
      </c>
      <c r="D404" s="2" t="s">
        <v>432</v>
      </c>
      <c r="E404" s="6"/>
      <c r="F404" s="18"/>
      <c r="G404" s="18"/>
      <c r="H404" s="18">
        <v>4617.78</v>
      </c>
      <c r="I404" s="18">
        <v>-9217.7800000000007</v>
      </c>
      <c r="J404" s="24" t="s">
        <v>288</v>
      </c>
      <c r="K404" s="24" t="s">
        <v>288</v>
      </c>
      <c r="L404" s="56">
        <f>SUM(F404:K404)</f>
        <v>-4600.0000000000009</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4617.78</v>
      </c>
      <c r="I408" s="47">
        <f>SUM(I404:I407)</f>
        <v>-9217.7800000000007</v>
      </c>
      <c r="J408" s="49" t="s">
        <v>288</v>
      </c>
      <c r="K408" s="49" t="s">
        <v>288</v>
      </c>
      <c r="L408" s="47">
        <f>SUM(L404:L407)</f>
        <v>-4600.0000000000009</v>
      </c>
      <c r="M408" s="8"/>
      <c r="N408" s="266"/>
    </row>
    <row r="409" spans="1:21" s="3" customFormat="1" ht="12.2" customHeight="1" thickTop="1" x14ac:dyDescent="0.15">
      <c r="A409" s="78" t="s">
        <v>421</v>
      </c>
      <c r="B409" s="2" t="s">
        <v>381</v>
      </c>
      <c r="C409" s="6">
        <v>20</v>
      </c>
      <c r="D409" s="6"/>
      <c r="E409" s="40"/>
      <c r="F409" s="47">
        <f>F394+F402+F408</f>
        <v>0</v>
      </c>
      <c r="G409" s="47">
        <f>G394+G402+G408</f>
        <v>3000</v>
      </c>
      <c r="H409" s="47">
        <f>H394+H402+H408</f>
        <v>5784.2</v>
      </c>
      <c r="I409" s="47">
        <f>I394+I402+I408</f>
        <v>-1020.8200000000015</v>
      </c>
      <c r="J409" s="24" t="s">
        <v>288</v>
      </c>
      <c r="K409" s="24" t="s">
        <v>288</v>
      </c>
      <c r="L409" s="47">
        <f>L394+L402+L408</f>
        <v>7763.3799999999983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12798</v>
      </c>
      <c r="I427" s="18"/>
      <c r="J427" s="18"/>
      <c r="K427" s="18"/>
      <c r="L427" s="56">
        <f t="shared" si="29"/>
        <v>12798</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12798</v>
      </c>
      <c r="I428" s="47">
        <f t="shared" si="30"/>
        <v>0</v>
      </c>
      <c r="J428" s="47">
        <f t="shared" si="30"/>
        <v>0</v>
      </c>
      <c r="K428" s="47">
        <f t="shared" si="30"/>
        <v>0</v>
      </c>
      <c r="L428" s="47">
        <f t="shared" si="30"/>
        <v>12798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1645</v>
      </c>
      <c r="B430" s="6">
        <v>17</v>
      </c>
      <c r="C430" s="6">
        <v>15</v>
      </c>
      <c r="D430" s="2" t="s">
        <v>432</v>
      </c>
      <c r="E430" s="6"/>
      <c r="F430" s="18"/>
      <c r="G430" s="18"/>
      <c r="H430" s="18"/>
      <c r="I430" s="18">
        <v>5212</v>
      </c>
      <c r="J430" s="18"/>
      <c r="K430" s="18">
        <v>8196.9599999999991</v>
      </c>
      <c r="L430" s="56">
        <f>SUM(F430:K430)</f>
        <v>13408.96</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5212</v>
      </c>
      <c r="J434" s="47">
        <f t="shared" si="31"/>
        <v>0</v>
      </c>
      <c r="K434" s="47">
        <f t="shared" si="31"/>
        <v>8196.9599999999991</v>
      </c>
      <c r="L434" s="47">
        <f t="shared" si="31"/>
        <v>13408.96</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12798</v>
      </c>
      <c r="I435" s="47">
        <f t="shared" si="32"/>
        <v>5212</v>
      </c>
      <c r="J435" s="47">
        <f t="shared" si="32"/>
        <v>0</v>
      </c>
      <c r="K435" s="47">
        <f t="shared" si="32"/>
        <v>8196.9599999999991</v>
      </c>
      <c r="L435" s="47">
        <f t="shared" si="32"/>
        <v>26206.959999999999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v>184247</v>
      </c>
      <c r="I441" s="56">
        <f t="shared" si="33"/>
        <v>184247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10200.1</v>
      </c>
      <c r="H442" s="18"/>
      <c r="I442" s="56">
        <f t="shared" si="33"/>
        <v>10200.1</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447112</v>
      </c>
      <c r="H443" s="18"/>
      <c r="I443" s="56">
        <f t="shared" si="33"/>
        <v>447112</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457312.1</v>
      </c>
      <c r="H447" s="13">
        <f>SUM(H440:H446)</f>
        <v>184247</v>
      </c>
      <c r="I447" s="13">
        <f>SUM(I440:I446)</f>
        <v>641559.1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184247</v>
      </c>
      <c r="I458" s="56">
        <f t="shared" si="34"/>
        <v>184247</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457312.1</v>
      </c>
      <c r="H460" s="18"/>
      <c r="I460" s="56">
        <f t="shared" si="34"/>
        <v>457312.1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457312.1</v>
      </c>
      <c r="H461" s="83">
        <f>SUM(H455:H460)</f>
        <v>184247</v>
      </c>
      <c r="I461" s="83">
        <f>SUM(I455:I460)</f>
        <v>641559.1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457312.1</v>
      </c>
      <c r="H462" s="42">
        <f>H453+H461</f>
        <v>184247</v>
      </c>
      <c r="I462" s="42">
        <f>I453+I461</f>
        <v>641559.1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80293.490000000005</v>
      </c>
      <c r="G466" s="18">
        <v>16985.939999999999</v>
      </c>
      <c r="H466" s="18"/>
      <c r="I466" s="18"/>
      <c r="J466" s="18">
        <v>660002.68000000005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10672131.99</v>
      </c>
      <c r="G469" s="18">
        <f>G194</f>
        <v>325079.32999999996</v>
      </c>
      <c r="H469" s="18">
        <f>H194</f>
        <v>621002.65000000014</v>
      </c>
      <c r="I469" s="18"/>
      <c r="J469" s="18">
        <f>J194</f>
        <v>7763.38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10672131.99</v>
      </c>
      <c r="G471" s="53">
        <f>SUM(G469:G470)</f>
        <v>325079.32999999996</v>
      </c>
      <c r="H471" s="53">
        <f>SUM(H469:H470)</f>
        <v>621002.65000000014</v>
      </c>
      <c r="I471" s="53">
        <f>SUM(I469:I470)</f>
        <v>0</v>
      </c>
      <c r="J471" s="53">
        <f>SUM(J469:J470)</f>
        <v>7763.38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10230305.799999999</v>
      </c>
      <c r="G473" s="18">
        <f>L363</f>
        <v>321714.17</v>
      </c>
      <c r="H473" s="18">
        <f>L353</f>
        <v>621002.64999999991</v>
      </c>
      <c r="I473" s="18"/>
      <c r="J473" s="18">
        <f>L435</f>
        <v>26206.959999999999</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10230305.799999999</v>
      </c>
      <c r="G475" s="53">
        <f>SUM(G473:G474)</f>
        <v>321714.17</v>
      </c>
      <c r="H475" s="53">
        <f>SUM(H473:H474)</f>
        <v>621002.64999999991</v>
      </c>
      <c r="I475" s="53">
        <f>SUM(I473:I474)</f>
        <v>0</v>
      </c>
      <c r="J475" s="53">
        <f>SUM(J473:J474)</f>
        <v>26206.959999999999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522119.68000000156</v>
      </c>
      <c r="G477" s="53">
        <f>(G466+G471)- G475</f>
        <v>20351.099999999977</v>
      </c>
      <c r="H477" s="53">
        <f>(H466+H471)- H475</f>
        <v>0</v>
      </c>
      <c r="I477" s="53">
        <f>(I466+I471)- I475</f>
        <v>0</v>
      </c>
      <c r="J477" s="53">
        <f>(J466+J471)- J475</f>
        <v>641559.10000000009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5300000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5.58</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265000</v>
      </c>
      <c r="G496" s="18"/>
      <c r="H496" s="18"/>
      <c r="I496" s="18"/>
      <c r="J496" s="18"/>
      <c r="K496" s="53">
        <f>SUM(F496:J496)</f>
        <v>265000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265000</v>
      </c>
      <c r="G498" s="18"/>
      <c r="H498" s="18"/>
      <c r="I498" s="18"/>
      <c r="J498" s="18"/>
      <c r="K498" s="53">
        <f t="shared" si="35"/>
        <v>265000</v>
      </c>
      <c r="L498" s="24" t="s">
        <v>288</v>
      </c>
      <c r="N498" s="265"/>
    </row>
    <row r="499" spans="1:14" s="52" customFormat="1" ht="12.2" customHeight="1" x14ac:dyDescent="0.2">
      <c r="A499" s="200" t="s">
        <v>622</v>
      </c>
      <c r="B499" s="201">
        <v>20</v>
      </c>
      <c r="C499" s="202">
        <v>9</v>
      </c>
      <c r="D499" s="203" t="s">
        <v>432</v>
      </c>
      <c r="E499" s="202"/>
      <c r="F499" s="204">
        <v>0</v>
      </c>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v>0</v>
      </c>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v>0</v>
      </c>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v>0</v>
      </c>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653875.98</v>
      </c>
      <c r="G522" s="18">
        <v>298419.64</v>
      </c>
      <c r="H522" s="18">
        <v>198556.41</v>
      </c>
      <c r="I522" s="18">
        <v>7764.55</v>
      </c>
      <c r="J522" s="18"/>
      <c r="K522" s="18">
        <v>677.5</v>
      </c>
      <c r="L522" s="88">
        <f>SUM(F522:K522)</f>
        <v>1159294.08</v>
      </c>
      <c r="N522" s="265"/>
    </row>
    <row r="523" spans="1:14" s="52" customFormat="1" ht="12.2" customHeight="1" x14ac:dyDescent="0.2">
      <c r="A523" s="22" t="s">
        <v>634</v>
      </c>
      <c r="B523" s="105">
        <v>21</v>
      </c>
      <c r="C523" s="115">
        <v>2</v>
      </c>
      <c r="D523" s="2" t="s">
        <v>432</v>
      </c>
      <c r="E523" s="115"/>
      <c r="F523" s="18">
        <v>175872.85</v>
      </c>
      <c r="G523" s="18">
        <v>56658.720000000001</v>
      </c>
      <c r="H523" s="18">
        <v>198006.51</v>
      </c>
      <c r="I523" s="18">
        <v>913.34</v>
      </c>
      <c r="J523" s="18"/>
      <c r="K523" s="18">
        <v>231.85</v>
      </c>
      <c r="L523" s="88">
        <f>SUM(F523:K523)</f>
        <v>431683.27</v>
      </c>
      <c r="N523" s="265"/>
    </row>
    <row r="524" spans="1:14" s="52" customFormat="1" ht="12.2" customHeight="1" thickBot="1" x14ac:dyDescent="0.25">
      <c r="A524" s="22" t="s">
        <v>635</v>
      </c>
      <c r="B524" s="105">
        <v>21</v>
      </c>
      <c r="C524" s="115">
        <v>3</v>
      </c>
      <c r="D524" s="2" t="s">
        <v>432</v>
      </c>
      <c r="E524" s="115"/>
      <c r="F524" s="18">
        <v>319064.73</v>
      </c>
      <c r="G524" s="18">
        <v>126356.5</v>
      </c>
      <c r="H524" s="18">
        <v>381455.09</v>
      </c>
      <c r="I524" s="18">
        <v>1212.68</v>
      </c>
      <c r="J524" s="18"/>
      <c r="K524" s="18">
        <v>445.65</v>
      </c>
      <c r="L524" s="88">
        <f>SUM(F524:K524)</f>
        <v>828534.65000000014</v>
      </c>
      <c r="N524" s="265"/>
    </row>
    <row r="525" spans="1:14" s="52" customFormat="1" ht="12.2" customHeight="1" thickTop="1" x14ac:dyDescent="0.2">
      <c r="A525" s="139" t="s">
        <v>63</v>
      </c>
      <c r="B525" s="107">
        <v>21</v>
      </c>
      <c r="C525" s="195">
        <v>4</v>
      </c>
      <c r="D525" s="196" t="s">
        <v>432</v>
      </c>
      <c r="E525" s="195"/>
      <c r="F525" s="108">
        <f>SUM(F522:F524)</f>
        <v>1148813.56</v>
      </c>
      <c r="G525" s="108">
        <f t="shared" ref="G525:L525" si="36">SUM(G522:G524)</f>
        <v>481434.86</v>
      </c>
      <c r="H525" s="108">
        <f t="shared" si="36"/>
        <v>778018.01</v>
      </c>
      <c r="I525" s="108">
        <f t="shared" si="36"/>
        <v>9890.57</v>
      </c>
      <c r="J525" s="108">
        <f t="shared" si="36"/>
        <v>0</v>
      </c>
      <c r="K525" s="108">
        <f t="shared" si="36"/>
        <v>1355</v>
      </c>
      <c r="L525" s="89">
        <f t="shared" si="36"/>
        <v>2419512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89196.24</v>
      </c>
      <c r="G527" s="18">
        <v>38395.97</v>
      </c>
      <c r="H527" s="18">
        <v>385507.55</v>
      </c>
      <c r="I527" s="18">
        <v>3806.28</v>
      </c>
      <c r="J527" s="18"/>
      <c r="K527" s="18"/>
      <c r="L527" s="88">
        <f>SUM(F527:K527)</f>
        <v>516906.04000000004</v>
      </c>
      <c r="M527" s="8"/>
      <c r="N527" s="266"/>
    </row>
    <row r="528" spans="1:14" s="3" customFormat="1" ht="12.2" customHeight="1" x14ac:dyDescent="0.15">
      <c r="A528" s="22" t="s">
        <v>634</v>
      </c>
      <c r="B528" s="105">
        <v>21</v>
      </c>
      <c r="C528" s="115">
        <v>6</v>
      </c>
      <c r="D528" s="2" t="s">
        <v>432</v>
      </c>
      <c r="E528" s="115"/>
      <c r="F528" s="18">
        <v>13323.04</v>
      </c>
      <c r="G528" s="18">
        <v>8501.94</v>
      </c>
      <c r="H528" s="18">
        <v>8296.66</v>
      </c>
      <c r="I528" s="18">
        <v>763.47</v>
      </c>
      <c r="J528" s="18"/>
      <c r="K528" s="18"/>
      <c r="L528" s="88">
        <f>SUM(F528:K528)</f>
        <v>30885.110000000004</v>
      </c>
      <c r="M528" s="8"/>
      <c r="N528" s="266"/>
    </row>
    <row r="529" spans="1:14" s="3" customFormat="1" ht="12.2" customHeight="1" thickBot="1" x14ac:dyDescent="0.2">
      <c r="A529" s="22" t="s">
        <v>635</v>
      </c>
      <c r="B529" s="118">
        <v>21</v>
      </c>
      <c r="C529" s="118">
        <v>7</v>
      </c>
      <c r="D529" s="2" t="s">
        <v>432</v>
      </c>
      <c r="E529" s="118"/>
      <c r="F529" s="18">
        <v>20173.04</v>
      </c>
      <c r="G529" s="18">
        <v>15327.86</v>
      </c>
      <c r="H529" s="18">
        <v>6153.02</v>
      </c>
      <c r="I529" s="18">
        <v>1507.39</v>
      </c>
      <c r="J529" s="18"/>
      <c r="K529" s="18"/>
      <c r="L529" s="88">
        <f>SUM(F529:K529)</f>
        <v>43161.31</v>
      </c>
      <c r="M529" s="8"/>
      <c r="N529" s="266"/>
    </row>
    <row r="530" spans="1:14" s="3" customFormat="1" ht="12.2" customHeight="1" thickTop="1" x14ac:dyDescent="0.15">
      <c r="A530" s="139" t="s">
        <v>65</v>
      </c>
      <c r="B530" s="107">
        <v>21</v>
      </c>
      <c r="C530" s="107">
        <v>8</v>
      </c>
      <c r="D530" s="158" t="s">
        <v>432</v>
      </c>
      <c r="E530" s="107"/>
      <c r="F530" s="89">
        <f>SUM(F527:F529)</f>
        <v>122692.32</v>
      </c>
      <c r="G530" s="89">
        <f t="shared" ref="G530:L530" si="37">SUM(G527:G529)</f>
        <v>62225.770000000004</v>
      </c>
      <c r="H530" s="89">
        <f t="shared" si="37"/>
        <v>399957.23</v>
      </c>
      <c r="I530" s="89">
        <f t="shared" si="37"/>
        <v>6077.14</v>
      </c>
      <c r="J530" s="89">
        <f t="shared" si="37"/>
        <v>0</v>
      </c>
      <c r="K530" s="89">
        <f t="shared" si="37"/>
        <v>0</v>
      </c>
      <c r="L530" s="89">
        <f t="shared" si="37"/>
        <v>590952.46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40450</v>
      </c>
      <c r="G532" s="18">
        <v>22393.64</v>
      </c>
      <c r="H532" s="18"/>
      <c r="I532" s="18"/>
      <c r="J532" s="18"/>
      <c r="K532" s="18"/>
      <c r="L532" s="88">
        <f>SUM(F532:K532)</f>
        <v>62843.64</v>
      </c>
      <c r="M532" s="8"/>
      <c r="N532" s="266"/>
    </row>
    <row r="533" spans="1:14" s="3" customFormat="1" ht="12.2" customHeight="1" x14ac:dyDescent="0.15">
      <c r="A533" s="22" t="s">
        <v>634</v>
      </c>
      <c r="B533" s="105">
        <v>21</v>
      </c>
      <c r="C533" s="105">
        <v>10</v>
      </c>
      <c r="D533" s="2" t="s">
        <v>432</v>
      </c>
      <c r="E533" s="105"/>
      <c r="F533" s="18">
        <v>14157.5</v>
      </c>
      <c r="G533" s="18">
        <v>7837.77</v>
      </c>
      <c r="H533" s="18"/>
      <c r="I533" s="18"/>
      <c r="J533" s="18"/>
      <c r="K533" s="18"/>
      <c r="L533" s="88">
        <f>SUM(F533:K533)</f>
        <v>21995.27</v>
      </c>
      <c r="M533" s="8"/>
      <c r="N533" s="266"/>
    </row>
    <row r="534" spans="1:14" s="3" customFormat="1" ht="12.2" customHeight="1" thickBot="1" x14ac:dyDescent="0.2">
      <c r="A534" s="22" t="s">
        <v>635</v>
      </c>
      <c r="B534" s="105">
        <v>21</v>
      </c>
      <c r="C534" s="105">
        <v>11</v>
      </c>
      <c r="D534" s="2" t="s">
        <v>432</v>
      </c>
      <c r="E534" s="105"/>
      <c r="F534" s="18">
        <v>26292.5</v>
      </c>
      <c r="G534" s="18">
        <v>14555.86</v>
      </c>
      <c r="H534" s="18"/>
      <c r="I534" s="18"/>
      <c r="J534" s="18"/>
      <c r="K534" s="18"/>
      <c r="L534" s="88">
        <f>SUM(F534:K534)</f>
        <v>40848.36</v>
      </c>
      <c r="M534" s="8"/>
      <c r="N534" s="266"/>
    </row>
    <row r="535" spans="1:14" s="3" customFormat="1" ht="12.2" customHeight="1" thickTop="1" x14ac:dyDescent="0.15">
      <c r="A535" s="139" t="s">
        <v>67</v>
      </c>
      <c r="B535" s="107">
        <v>21</v>
      </c>
      <c r="C535" s="107">
        <v>12</v>
      </c>
      <c r="D535" s="158" t="s">
        <v>432</v>
      </c>
      <c r="E535" s="107"/>
      <c r="F535" s="89">
        <f>SUM(F532:F534)</f>
        <v>80900</v>
      </c>
      <c r="G535" s="89">
        <f t="shared" ref="G535:L535" si="38">SUM(G532:G534)</f>
        <v>44787.270000000004</v>
      </c>
      <c r="H535" s="89">
        <f t="shared" si="38"/>
        <v>0</v>
      </c>
      <c r="I535" s="89">
        <f t="shared" si="38"/>
        <v>0</v>
      </c>
      <c r="J535" s="89">
        <f t="shared" si="38"/>
        <v>0</v>
      </c>
      <c r="K535" s="89">
        <f t="shared" si="38"/>
        <v>0</v>
      </c>
      <c r="L535" s="89">
        <f t="shared" si="38"/>
        <v>125687.27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224</v>
      </c>
      <c r="I537" s="18"/>
      <c r="J537" s="18"/>
      <c r="K537" s="18"/>
      <c r="L537" s="88">
        <f>SUM(F537:K537)</f>
        <v>224</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265.60000000000002</v>
      </c>
      <c r="I539" s="18"/>
      <c r="J539" s="18"/>
      <c r="K539" s="18"/>
      <c r="L539" s="88">
        <f>SUM(F539:K539)</f>
        <v>265.60000000000002</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489.6</v>
      </c>
      <c r="I540" s="89">
        <f t="shared" si="39"/>
        <v>0</v>
      </c>
      <c r="J540" s="89">
        <f t="shared" si="39"/>
        <v>0</v>
      </c>
      <c r="K540" s="89">
        <f t="shared" si="39"/>
        <v>0</v>
      </c>
      <c r="L540" s="89">
        <f t="shared" si="39"/>
        <v>489.6</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74654.5</v>
      </c>
      <c r="I542" s="18"/>
      <c r="J542" s="18"/>
      <c r="K542" s="18"/>
      <c r="L542" s="88">
        <f>SUM(F542:K542)</f>
        <v>74654.5</v>
      </c>
      <c r="M542" s="8"/>
      <c r="N542" s="266"/>
    </row>
    <row r="543" spans="1:14" s="3" customFormat="1" ht="12.2" customHeight="1" x14ac:dyDescent="0.15">
      <c r="A543" s="22" t="s">
        <v>634</v>
      </c>
      <c r="B543" s="105">
        <v>21</v>
      </c>
      <c r="C543" s="105">
        <v>18</v>
      </c>
      <c r="D543" s="2" t="s">
        <v>432</v>
      </c>
      <c r="E543" s="105"/>
      <c r="F543" s="18"/>
      <c r="G543" s="18"/>
      <c r="H543" s="18">
        <v>64258.8</v>
      </c>
      <c r="I543" s="18"/>
      <c r="J543" s="18"/>
      <c r="K543" s="18"/>
      <c r="L543" s="88">
        <f>SUM(F543:K543)</f>
        <v>64258.8</v>
      </c>
      <c r="M543" s="8"/>
      <c r="N543" s="266"/>
    </row>
    <row r="544" spans="1:14" s="3" customFormat="1" ht="12.2" customHeight="1" thickBot="1" x14ac:dyDescent="0.2">
      <c r="A544" s="22" t="s">
        <v>635</v>
      </c>
      <c r="B544" s="105">
        <v>21</v>
      </c>
      <c r="C544" s="105">
        <v>19</v>
      </c>
      <c r="D544" s="2" t="s">
        <v>432</v>
      </c>
      <c r="E544" s="105"/>
      <c r="F544" s="18"/>
      <c r="G544" s="18"/>
      <c r="H544" s="18">
        <v>58117.61</v>
      </c>
      <c r="I544" s="18"/>
      <c r="J544" s="18"/>
      <c r="K544" s="18"/>
      <c r="L544" s="88">
        <f>SUM(F544:K544)</f>
        <v>58117.61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197030.90999999997</v>
      </c>
      <c r="I545" s="193">
        <f t="shared" si="40"/>
        <v>0</v>
      </c>
      <c r="J545" s="193">
        <f t="shared" si="40"/>
        <v>0</v>
      </c>
      <c r="K545" s="193">
        <f t="shared" si="40"/>
        <v>0</v>
      </c>
      <c r="L545" s="193">
        <f t="shared" si="40"/>
        <v>197030.90999999997</v>
      </c>
      <c r="M545" s="8"/>
      <c r="N545" s="266"/>
    </row>
    <row r="546" spans="1:14" s="3" customFormat="1" ht="12.2" customHeight="1" thickTop="1" x14ac:dyDescent="0.15">
      <c r="A546" s="98" t="s">
        <v>72</v>
      </c>
      <c r="B546" s="107">
        <v>21</v>
      </c>
      <c r="C546" s="107">
        <v>21</v>
      </c>
      <c r="D546" s="158" t="s">
        <v>432</v>
      </c>
      <c r="E546" s="107"/>
      <c r="F546" s="89">
        <f>F525+F530+F535+F540+F545</f>
        <v>1352405.8800000001</v>
      </c>
      <c r="G546" s="89">
        <f t="shared" ref="G546:L546" si="41">G525+G530+G535+G540+G545</f>
        <v>588447.9</v>
      </c>
      <c r="H546" s="89">
        <f t="shared" si="41"/>
        <v>1375495.75</v>
      </c>
      <c r="I546" s="89">
        <f t="shared" si="41"/>
        <v>15967.71</v>
      </c>
      <c r="J546" s="89">
        <f t="shared" si="41"/>
        <v>0</v>
      </c>
      <c r="K546" s="89">
        <f t="shared" si="41"/>
        <v>1355</v>
      </c>
      <c r="L546" s="89">
        <f t="shared" si="41"/>
        <v>3333672.24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1159294.08</v>
      </c>
      <c r="G550" s="87">
        <f>L527</f>
        <v>516906.04000000004</v>
      </c>
      <c r="H550" s="87">
        <f>L532</f>
        <v>62843.64</v>
      </c>
      <c r="I550" s="87">
        <f>L537</f>
        <v>224</v>
      </c>
      <c r="J550" s="87">
        <f>L542</f>
        <v>74654.5</v>
      </c>
      <c r="K550" s="87">
        <f>SUM(F550:J550)</f>
        <v>1813922.26</v>
      </c>
      <c r="L550" s="24" t="s">
        <v>288</v>
      </c>
      <c r="M550" s="8"/>
      <c r="N550" s="266"/>
    </row>
    <row r="551" spans="1:14" s="3" customFormat="1" ht="12.2" customHeight="1" x14ac:dyDescent="0.15">
      <c r="A551" s="22" t="s">
        <v>634</v>
      </c>
      <c r="B551" s="75">
        <v>21</v>
      </c>
      <c r="C551" s="75">
        <v>23</v>
      </c>
      <c r="D551" s="2" t="s">
        <v>432</v>
      </c>
      <c r="E551" s="75"/>
      <c r="F551" s="87">
        <f>L523</f>
        <v>431683.27</v>
      </c>
      <c r="G551" s="87">
        <f>L528</f>
        <v>30885.110000000004</v>
      </c>
      <c r="H551" s="87">
        <f>L533</f>
        <v>21995.27</v>
      </c>
      <c r="I551" s="87">
        <f>L538</f>
        <v>0</v>
      </c>
      <c r="J551" s="87">
        <f>L543</f>
        <v>64258.8</v>
      </c>
      <c r="K551" s="87">
        <f>SUM(F551:J551)</f>
        <v>548822.45000000007</v>
      </c>
      <c r="L551" s="24" t="s">
        <v>288</v>
      </c>
      <c r="M551" s="8"/>
      <c r="N551" s="266"/>
    </row>
    <row r="552" spans="1:14" s="3" customFormat="1" ht="12.2" customHeight="1" thickBot="1" x14ac:dyDescent="0.2">
      <c r="A552" s="22" t="s">
        <v>635</v>
      </c>
      <c r="B552" s="75">
        <v>21</v>
      </c>
      <c r="C552" s="75">
        <v>24</v>
      </c>
      <c r="D552" s="2" t="s">
        <v>432</v>
      </c>
      <c r="E552" s="75"/>
      <c r="F552" s="87">
        <f>L524</f>
        <v>828534.65000000014</v>
      </c>
      <c r="G552" s="87">
        <f>L529</f>
        <v>43161.31</v>
      </c>
      <c r="H552" s="87">
        <f>L534</f>
        <v>40848.36</v>
      </c>
      <c r="I552" s="87">
        <f>L539</f>
        <v>265.60000000000002</v>
      </c>
      <c r="J552" s="87">
        <f>L544</f>
        <v>58117.61</v>
      </c>
      <c r="K552" s="87">
        <f>SUM(F552:J552)</f>
        <v>970927.53000000014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2419512</v>
      </c>
      <c r="G553" s="89">
        <f t="shared" si="42"/>
        <v>590952.46</v>
      </c>
      <c r="H553" s="89">
        <f t="shared" si="42"/>
        <v>125687.27</v>
      </c>
      <c r="I553" s="89">
        <f t="shared" si="42"/>
        <v>489.6</v>
      </c>
      <c r="J553" s="89">
        <f t="shared" si="42"/>
        <v>197030.90999999997</v>
      </c>
      <c r="K553" s="89">
        <f t="shared" si="42"/>
        <v>3333672.24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75</v>
      </c>
      <c r="G563" s="18">
        <v>18</v>
      </c>
      <c r="H563" s="18"/>
      <c r="I563" s="18"/>
      <c r="J563" s="18"/>
      <c r="K563" s="18"/>
      <c r="L563" s="88">
        <f>SUM(F563:K563)</f>
        <v>93</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75</v>
      </c>
      <c r="G566" s="89">
        <f t="shared" si="44"/>
        <v>18</v>
      </c>
      <c r="H566" s="89">
        <f t="shared" si="44"/>
        <v>0</v>
      </c>
      <c r="I566" s="89">
        <f t="shared" si="44"/>
        <v>0</v>
      </c>
      <c r="J566" s="89">
        <f t="shared" si="44"/>
        <v>0</v>
      </c>
      <c r="K566" s="89">
        <f t="shared" si="44"/>
        <v>0</v>
      </c>
      <c r="L566" s="89">
        <f t="shared" si="44"/>
        <v>93</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75</v>
      </c>
      <c r="G572" s="89">
        <f t="shared" ref="G572:L572" si="46">G561+G566+G571</f>
        <v>18</v>
      </c>
      <c r="H572" s="89">
        <f t="shared" si="46"/>
        <v>0</v>
      </c>
      <c r="I572" s="89">
        <f t="shared" si="46"/>
        <v>0</v>
      </c>
      <c r="J572" s="89">
        <f t="shared" si="46"/>
        <v>0</v>
      </c>
      <c r="K572" s="89">
        <f t="shared" si="46"/>
        <v>0</v>
      </c>
      <c r="L572" s="89">
        <f t="shared" si="46"/>
        <v>93</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17738.560000000001</v>
      </c>
      <c r="I576" s="87">
        <f>SUM(F576:H576)</f>
        <v>17738.560000000001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3102.77</v>
      </c>
      <c r="G580" s="18"/>
      <c r="H580" s="18">
        <v>40433.25</v>
      </c>
      <c r="I580" s="87">
        <f t="shared" si="47"/>
        <v>43536.02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10471.61</v>
      </c>
      <c r="I582" s="87">
        <f t="shared" si="47"/>
        <v>10471.61</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174738.99</v>
      </c>
      <c r="G583" s="18">
        <v>197896.76</v>
      </c>
      <c r="H583" s="18">
        <v>322917.77</v>
      </c>
      <c r="I583" s="87">
        <f t="shared" si="47"/>
        <v>695553.52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24927.02</v>
      </c>
      <c r="I585" s="87">
        <f t="shared" si="47"/>
        <v>24927.02</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118652.95</v>
      </c>
      <c r="I592" s="18">
        <v>29108.94</v>
      </c>
      <c r="J592" s="18">
        <v>60602.99</v>
      </c>
      <c r="K592" s="104">
        <f t="shared" ref="K592:K598" si="48">SUM(H592:J592)</f>
        <v>208364.87999999998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74654.5</v>
      </c>
      <c r="I593" s="18">
        <v>64258.8</v>
      </c>
      <c r="J593" s="18">
        <v>58117.61</v>
      </c>
      <c r="K593" s="104">
        <f t="shared" si="48"/>
        <v>197030.90999999997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25200</v>
      </c>
      <c r="K594" s="104">
        <f t="shared" si="48"/>
        <v>25200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2650.9</v>
      </c>
      <c r="J595" s="18">
        <v>11062</v>
      </c>
      <c r="K595" s="104">
        <f t="shared" si="48"/>
        <v>13712.9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17.5</v>
      </c>
      <c r="J596" s="18">
        <v>1625.53</v>
      </c>
      <c r="K596" s="104">
        <f t="shared" si="48"/>
        <v>1643.03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193307.45</v>
      </c>
      <c r="I599" s="108">
        <f>SUM(I592:I598)</f>
        <v>96036.14</v>
      </c>
      <c r="J599" s="108">
        <f>SUM(J592:J598)</f>
        <v>156608.13</v>
      </c>
      <c r="K599" s="108">
        <f>SUM(K592:K598)</f>
        <v>445951.72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76161.429999999993</v>
      </c>
      <c r="I605" s="18">
        <v>4112.2299999999996</v>
      </c>
      <c r="J605" s="18">
        <v>7685.33</v>
      </c>
      <c r="K605" s="104">
        <f>SUM(H605:J605)</f>
        <v>87958.989999999991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76161.429999999993</v>
      </c>
      <c r="I606" s="108">
        <f>SUM(I603:I605)</f>
        <v>4112.2299999999996</v>
      </c>
      <c r="J606" s="108">
        <f>SUM(J603:J605)</f>
        <v>7685.33</v>
      </c>
      <c r="K606" s="108">
        <f>SUM(K603:K605)</f>
        <v>87958.989999999991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1371183.5</v>
      </c>
      <c r="H618" s="109">
        <f>SUM(F52)</f>
        <v>1371183.5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125983.56999999999</v>
      </c>
      <c r="H619" s="109">
        <f>SUM(G52)</f>
        <v>125983.57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101706</v>
      </c>
      <c r="H620" s="109">
        <f>SUM(H52)</f>
        <v>101706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641559.1</v>
      </c>
      <c r="H622" s="109">
        <f>SUM(J52)</f>
        <v>641559.1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522119.67999999999</v>
      </c>
      <c r="H623" s="109">
        <f>F477</f>
        <v>522119.68000000156</v>
      </c>
      <c r="I623" s="121" t="s">
        <v>101</v>
      </c>
      <c r="J623" s="109">
        <f t="shared" ref="J623:J656" si="50">G623-H623</f>
        <v>-1.57160684466362E-9</v>
      </c>
      <c r="K623" s="109"/>
      <c r="L623" s="109"/>
      <c r="M623" s="8"/>
    </row>
    <row r="624" spans="1:14" s="3" customFormat="1" ht="12.2" customHeight="1" x14ac:dyDescent="0.15">
      <c r="A624" s="97"/>
      <c r="B624" s="105"/>
      <c r="C624" s="119"/>
      <c r="D624" s="119"/>
      <c r="E624" s="119"/>
      <c r="F624" s="119" t="s">
        <v>866</v>
      </c>
      <c r="G624" s="109">
        <f>G51</f>
        <v>20351.099999999999</v>
      </c>
      <c r="H624" s="109">
        <f>G477</f>
        <v>20351.099999999977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641559.1</v>
      </c>
      <c r="H627" s="109">
        <f>J477</f>
        <v>641559.10000000009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10672131.99</v>
      </c>
      <c r="H628" s="104">
        <f>SUM(F469)</f>
        <v>10672131.99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325079.32999999996</v>
      </c>
      <c r="H629" s="104">
        <f>SUM(G469)</f>
        <v>325079.32999999996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621002.65000000014</v>
      </c>
      <c r="H630" s="104">
        <f>SUM(H469)</f>
        <v>621002.65000000014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7763.38</v>
      </c>
      <c r="H632" s="104">
        <f>SUM(J469)</f>
        <v>7763.38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10230305.799999999</v>
      </c>
      <c r="H633" s="104">
        <f>SUM(F473)</f>
        <v>10230305.799999999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621002.64999999991</v>
      </c>
      <c r="H634" s="104">
        <f>SUM(H473)</f>
        <v>621002.64999999991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26405.17</v>
      </c>
      <c r="H635" s="104">
        <f>I370</f>
        <v>26405.170000000002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321714.17</v>
      </c>
      <c r="H636" s="104">
        <f>SUM(G473)</f>
        <v>321714.17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7763.3799999999983</v>
      </c>
      <c r="H638" s="164">
        <f>SUM(J469)</f>
        <v>7763.38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26206.959999999999</v>
      </c>
      <c r="H639" s="164">
        <f>SUM(J473)</f>
        <v>26206.959999999999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457312.1</v>
      </c>
      <c r="H641" s="104">
        <f>SUM(G462)</f>
        <v>457312.1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184247</v>
      </c>
      <c r="H642" s="104">
        <f>SUM(H462)</f>
        <v>184247</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641559.1</v>
      </c>
      <c r="H643" s="104">
        <f>SUM(I462)</f>
        <v>641559.1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5784.2</v>
      </c>
      <c r="H645" s="104">
        <f>H409</f>
        <v>5784.2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v>
      </c>
      <c r="H646" s="104">
        <f>G409</f>
        <v>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7763.38</v>
      </c>
      <c r="H647" s="104">
        <f>L409</f>
        <v>7763.3799999999983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445951.72</v>
      </c>
      <c r="H648" s="104">
        <f>L209+L227+L245</f>
        <v>445951.72000000003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87958.989999999991</v>
      </c>
      <c r="H649" s="104">
        <f>(J258+J339)-(J256+J337)</f>
        <v>87958.989999999991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193307.45</v>
      </c>
      <c r="H650" s="104">
        <f>H599</f>
        <v>193307.45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96036.14</v>
      </c>
      <c r="H651" s="104">
        <f>I599</f>
        <v>96036.14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156608.13</v>
      </c>
      <c r="H652" s="104">
        <f>J599</f>
        <v>156608.13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12109.35</v>
      </c>
      <c r="H653" s="104">
        <f>K264+K346</f>
        <v>12109.35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v>
      </c>
      <c r="H656" s="104">
        <f>K267+K348</f>
        <v>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5629816.1699999999</v>
      </c>
      <c r="G661" s="19">
        <f>(L230+L310+L360)</f>
        <v>1690913.79</v>
      </c>
      <c r="H661" s="19">
        <f>(L248+L329+L361)</f>
        <v>3549945.8099999996</v>
      </c>
      <c r="I661" s="19">
        <f>SUM(F661:H661)</f>
        <v>10870675.77</v>
      </c>
      <c r="J661" s="13"/>
      <c r="K661" s="13"/>
      <c r="L661" s="13"/>
      <c r="M661" s="9"/>
    </row>
    <row r="662" spans="1:13" s="3" customFormat="1" ht="12.2" customHeight="1" x14ac:dyDescent="0.2">
      <c r="A662" s="1" t="s">
        <v>127</v>
      </c>
      <c r="F662" s="19">
        <f>(L359/IF(SUM(L359:L361)=0,1,SUM(L359:L361))*(SUM(G97:G110)))</f>
        <v>19485.642405499268</v>
      </c>
      <c r="G662" s="19">
        <f>(L360/IF(SUM(L359:L361)=0,1,SUM(L359:L361))*(SUM(G97:G110)))</f>
        <v>7667.2372828091484</v>
      </c>
      <c r="H662" s="19">
        <f>(L361/IF(SUM(L359:L361)=0,1,SUM(L359:L361))*(SUM(G97:G110)))</f>
        <v>15834.920311691587</v>
      </c>
      <c r="I662" s="19">
        <f>SUM(F662:H662)</f>
        <v>42987.8</v>
      </c>
      <c r="J662"/>
      <c r="K662" s="13"/>
      <c r="L662" s="13"/>
      <c r="M662" s="8"/>
    </row>
    <row r="663" spans="1:13" s="3" customFormat="1" ht="12.2" customHeight="1" x14ac:dyDescent="0.2">
      <c r="A663" s="1" t="s">
        <v>128</v>
      </c>
      <c r="F663" s="19">
        <f>(L209+L288)-(J209+J288)</f>
        <v>195067.45</v>
      </c>
      <c r="G663" s="19">
        <f>(L227+L307)-(J227+J307)</f>
        <v>96036.14</v>
      </c>
      <c r="H663" s="19">
        <f>(L245+L326)-(J245+J326)</f>
        <v>159671.93</v>
      </c>
      <c r="I663" s="19">
        <f>SUM(F663:H663)</f>
        <v>450775.52</v>
      </c>
      <c r="J663"/>
      <c r="K663" s="13"/>
      <c r="L663" s="13"/>
      <c r="M663" s="9"/>
    </row>
    <row r="664" spans="1:13" s="3" customFormat="1" ht="12.2" customHeight="1" x14ac:dyDescent="0.15">
      <c r="A664" s="198" t="s">
        <v>129</v>
      </c>
      <c r="B664" s="169"/>
      <c r="C664" s="169"/>
      <c r="D664" s="169"/>
      <c r="E664" s="169"/>
      <c r="F664" s="199">
        <f>SUM(F576:F588)+SUM(H603:H605)+SUM(L612)</f>
        <v>254003.18999999997</v>
      </c>
      <c r="G664" s="199">
        <f>SUM(G576:G588)+SUM(I603:I605)+L613</f>
        <v>202008.99000000002</v>
      </c>
      <c r="H664" s="199">
        <f>SUM(H576:H588)+SUM(J603:J605)+L614</f>
        <v>424173.54000000004</v>
      </c>
      <c r="I664" s="19">
        <f>SUM(F664:H664)</f>
        <v>880185.72</v>
      </c>
      <c r="J664" s="13"/>
      <c r="K664" s="13"/>
      <c r="L664" s="13"/>
      <c r="M664" s="9"/>
    </row>
    <row r="665" spans="1:13" s="3" customFormat="1" ht="12.2" customHeight="1" x14ac:dyDescent="0.15">
      <c r="A665" s="1" t="s">
        <v>130</v>
      </c>
      <c r="F665" s="19">
        <f>F661-SUM(F662:F664)</f>
        <v>5161259.8875945006</v>
      </c>
      <c r="G665" s="19">
        <f>G661-SUM(G662:G664)</f>
        <v>1385201.4227171908</v>
      </c>
      <c r="H665" s="19">
        <f>H661-SUM(H662:H664)</f>
        <v>2950265.4196883077</v>
      </c>
      <c r="I665" s="19">
        <f>I661-SUM(I662:I664)</f>
        <v>9496726.7300000004</v>
      </c>
      <c r="J665" s="13"/>
      <c r="K665" s="13"/>
      <c r="L665" s="13"/>
      <c r="M665" s="8"/>
    </row>
    <row r="666" spans="1:13" s="3" customFormat="1" ht="12.2" customHeight="1" x14ac:dyDescent="0.2">
      <c r="A666" s="1" t="s">
        <v>131</v>
      </c>
      <c r="F666" s="246">
        <f>6+33.77+276.22</f>
        <v>315.99</v>
      </c>
      <c r="G666" s="247">
        <v>97.65</v>
      </c>
      <c r="H666" s="247">
        <v>143.28</v>
      </c>
      <c r="I666" s="19">
        <f>SUM(F666:H666)</f>
        <v>556.91999999999996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16333.62</v>
      </c>
      <c r="G668" s="19">
        <f>ROUND(G665/G666,2)</f>
        <v>14185.37</v>
      </c>
      <c r="H668" s="19">
        <f>ROUND(H665/H666,2)</f>
        <v>20590.91</v>
      </c>
      <c r="I668" s="19">
        <f>ROUND(I665/I666,2)</f>
        <v>17052.23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-3.67</v>
      </c>
      <c r="I671" s="19">
        <f>SUM(F671:H671)</f>
        <v>-3.67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16333.62</v>
      </c>
      <c r="G673" s="19">
        <f>ROUND((G665+G670)/(G666+G671),2)</f>
        <v>14185.37</v>
      </c>
      <c r="H673" s="19">
        <f>ROUND((H665+H670)/(H666+H671),2)</f>
        <v>21132.19</v>
      </c>
      <c r="I673" s="19">
        <f>ROUND((I665+I670)/(I666+I671),2)</f>
        <v>17165.34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PITTSFIELD SCHOOL DISTRICT</v>
      </c>
      <c r="C5" s="344"/>
      <c r="D5" s="344"/>
      <c r="E5" s="344"/>
      <c r="F5" s="344"/>
    </row>
    <row r="8" spans="1:9" ht="18" x14ac:dyDescent="0.25">
      <c r="A8" s="323" t="s">
        <v>1591</v>
      </c>
      <c r="F8" s="330" t="s">
        <v>1609</v>
      </c>
    </row>
    <row r="9" spans="1:9" ht="15" x14ac:dyDescent="0.2">
      <c r="A9" s="321" t="s">
        <v>1592</v>
      </c>
      <c r="B9" s="324">
        <f>'DOE25'!G97</f>
        <v>42987.8</v>
      </c>
      <c r="F9" s="321" t="s">
        <v>1605</v>
      </c>
    </row>
    <row r="10" spans="1:9" ht="15" x14ac:dyDescent="0.2">
      <c r="A10" s="321" t="s">
        <v>1593</v>
      </c>
      <c r="B10" s="324">
        <f>'DOE25'!G112-'DOE25'!G97</f>
        <v>4.0800000000017462</v>
      </c>
      <c r="F10" s="321" t="s">
        <v>1606</v>
      </c>
    </row>
    <row r="11" spans="1:9" ht="15" x14ac:dyDescent="0.2">
      <c r="A11" s="321" t="s">
        <v>1594</v>
      </c>
      <c r="B11" s="324">
        <f>'DOE25'!G140</f>
        <v>5189.8500000000004</v>
      </c>
      <c r="F11" s="321" t="s">
        <v>1607</v>
      </c>
    </row>
    <row r="12" spans="1:9" ht="15" x14ac:dyDescent="0.2">
      <c r="A12" s="321" t="s">
        <v>1595</v>
      </c>
      <c r="B12" s="324">
        <f>'DOE25'!G170</f>
        <v>264788.25</v>
      </c>
      <c r="F12" s="321" t="s">
        <v>1608</v>
      </c>
    </row>
    <row r="13" spans="1:9" ht="15" x14ac:dyDescent="0.2">
      <c r="A13" s="321" t="s">
        <v>1596</v>
      </c>
      <c r="B13" s="324">
        <f>'DOE25'!G193-'DOE25'!G180</f>
        <v>0</v>
      </c>
      <c r="F13" s="321" t="s">
        <v>1618</v>
      </c>
    </row>
    <row r="14" spans="1:9" ht="18" x14ac:dyDescent="0.25">
      <c r="A14" s="323" t="s">
        <v>732</v>
      </c>
      <c r="B14" s="325">
        <f>SUM(B9:B13)</f>
        <v>312969.98</v>
      </c>
    </row>
    <row r="16" spans="1:9" ht="18" x14ac:dyDescent="0.25">
      <c r="A16" s="323" t="s">
        <v>786</v>
      </c>
      <c r="F16" s="330" t="s">
        <v>1610</v>
      </c>
    </row>
    <row r="17" spans="1:6" ht="15" x14ac:dyDescent="0.2">
      <c r="A17" s="321" t="s">
        <v>1597</v>
      </c>
      <c r="B17" s="324">
        <f>'DOE25'!L363-'DOE25'!L362</f>
        <v>321714.17</v>
      </c>
      <c r="F17" s="321" t="s">
        <v>1611</v>
      </c>
    </row>
    <row r="18" spans="1:6" ht="15" x14ac:dyDescent="0.2">
      <c r="A18" s="321" t="s">
        <v>1598</v>
      </c>
      <c r="B18" s="338"/>
      <c r="F18" s="330" t="s">
        <v>1637</v>
      </c>
    </row>
    <row r="19" spans="1:6" ht="18" x14ac:dyDescent="0.25">
      <c r="A19" s="323" t="s">
        <v>725</v>
      </c>
      <c r="B19" s="325">
        <f>SUM(B17:B18)</f>
        <v>321714.17</v>
      </c>
    </row>
    <row r="21" spans="1:6" ht="18.75" thickBot="1" x14ac:dyDescent="0.3">
      <c r="A21" s="323" t="s">
        <v>1599</v>
      </c>
    </row>
    <row r="22" spans="1:6" ht="18.75" thickTop="1" x14ac:dyDescent="0.25">
      <c r="A22" s="323" t="s">
        <v>1600</v>
      </c>
      <c r="B22" s="329">
        <f>B14-B19</f>
        <v>-8744.1900000000023</v>
      </c>
      <c r="F22" s="321" t="s">
        <v>1612</v>
      </c>
    </row>
    <row r="26" spans="1:6" ht="18" x14ac:dyDescent="0.25">
      <c r="A26" s="323" t="s">
        <v>186</v>
      </c>
    </row>
    <row r="27" spans="1:6" ht="15" x14ac:dyDescent="0.2">
      <c r="A27" s="321" t="s">
        <v>1601</v>
      </c>
      <c r="B27" s="324">
        <f>'DOE25'!G180</f>
        <v>12109.35</v>
      </c>
      <c r="F27" s="321" t="s">
        <v>1613</v>
      </c>
    </row>
    <row r="28" spans="1:6" ht="15" x14ac:dyDescent="0.2">
      <c r="A28" s="321" t="s">
        <v>1603</v>
      </c>
      <c r="B28" s="324">
        <f>'DOE25'!L362</f>
        <v>0</v>
      </c>
      <c r="F28" s="321" t="s">
        <v>1614</v>
      </c>
    </row>
    <row r="31" spans="1:6" ht="15" x14ac:dyDescent="0.2">
      <c r="A31" s="321" t="s">
        <v>1640</v>
      </c>
      <c r="B31" s="324">
        <f>'DOE25'!G466</f>
        <v>16985.939999999999</v>
      </c>
      <c r="F31" s="321" t="s">
        <v>1615</v>
      </c>
    </row>
    <row r="33" spans="1:6" ht="15" x14ac:dyDescent="0.2">
      <c r="A33" s="321" t="s">
        <v>1641</v>
      </c>
      <c r="B33" s="324">
        <f>'DOE25'!G477</f>
        <v>20351.099999999977</v>
      </c>
      <c r="F33" s="321" t="s">
        <v>1616</v>
      </c>
    </row>
    <row r="36" spans="1:6" ht="15" x14ac:dyDescent="0.2">
      <c r="A36" s="321" t="s">
        <v>1602</v>
      </c>
      <c r="B36" s="341">
        <v>23375.82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PITTSFIELD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2105512.5799999996</v>
      </c>
      <c r="C9" s="229">
        <f>'DOE25'!G198+'DOE25'!G216+'DOE25'!G234+'DOE25'!G277+'DOE25'!G296+'DOE25'!G315</f>
        <v>1084485.58</v>
      </c>
    </row>
    <row r="10" spans="1:3" x14ac:dyDescent="0.2">
      <c r="A10" t="s">
        <v>775</v>
      </c>
      <c r="B10" s="240">
        <v>1909979.85</v>
      </c>
      <c r="C10" s="240">
        <v>1059008.27</v>
      </c>
    </row>
    <row r="11" spans="1:3" x14ac:dyDescent="0.2">
      <c r="A11" t="s">
        <v>776</v>
      </c>
      <c r="B11" s="240">
        <v>135845.26999999999</v>
      </c>
      <c r="C11" s="240">
        <v>25268.85</v>
      </c>
    </row>
    <row r="12" spans="1:3" x14ac:dyDescent="0.2">
      <c r="A12" t="s">
        <v>777</v>
      </c>
      <c r="B12" s="240">
        <v>59687.46</v>
      </c>
      <c r="C12" s="240">
        <v>208.46</v>
      </c>
    </row>
    <row r="13" spans="1:3" x14ac:dyDescent="0.2">
      <c r="A13" t="str">
        <f>IF(B9=B13,IF(C9=C13,"Check Total OK","Check Total Error"),"Check Total Error")</f>
        <v>Check Total OK</v>
      </c>
      <c r="B13" s="231">
        <f>SUM(B10:B12)</f>
        <v>2105512.58</v>
      </c>
      <c r="C13" s="231">
        <f>SUM(C10:C12)</f>
        <v>1084485.58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1148888.56</v>
      </c>
      <c r="C18" s="229">
        <f>'DOE25'!G199+'DOE25'!G217+'DOE25'!G235+'DOE25'!G278+'DOE25'!G297+'DOE25'!G316</f>
        <v>481453.68</v>
      </c>
    </row>
    <row r="19" spans="1:3" x14ac:dyDescent="0.2">
      <c r="A19" t="s">
        <v>775</v>
      </c>
      <c r="B19" s="240">
        <v>650555.81999999995</v>
      </c>
      <c r="C19" s="240">
        <v>375660.75</v>
      </c>
    </row>
    <row r="20" spans="1:3" x14ac:dyDescent="0.2">
      <c r="A20" t="s">
        <v>776</v>
      </c>
      <c r="B20" s="240">
        <v>463018.64</v>
      </c>
      <c r="C20" s="240">
        <v>96292.99</v>
      </c>
    </row>
    <row r="21" spans="1:3" x14ac:dyDescent="0.2">
      <c r="A21" t="s">
        <v>777</v>
      </c>
      <c r="B21" s="240">
        <v>35314.1</v>
      </c>
      <c r="C21" s="240">
        <v>9499.94</v>
      </c>
    </row>
    <row r="22" spans="1:3" x14ac:dyDescent="0.2">
      <c r="A22" t="str">
        <f>IF(B18=B22,IF(C18=C22,"Check Total OK","Check Total Error"),"Check Total Error")</f>
        <v>Check Total OK</v>
      </c>
      <c r="B22" s="231">
        <f>SUM(B19:B21)</f>
        <v>1148888.56</v>
      </c>
      <c r="C22" s="231">
        <f>SUM(C19:C21)</f>
        <v>481453.68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70823.3</v>
      </c>
      <c r="C36" s="235">
        <f>'DOE25'!G201+'DOE25'!G219+'DOE25'!G237+'DOE25'!G280+'DOE25'!G299+'DOE25'!G318</f>
        <v>10208.09</v>
      </c>
    </row>
    <row r="37" spans="1:3" x14ac:dyDescent="0.2">
      <c r="A37" t="s">
        <v>775</v>
      </c>
      <c r="B37" s="240">
        <v>18100</v>
      </c>
      <c r="C37" s="240">
        <v>4596.32</v>
      </c>
    </row>
    <row r="38" spans="1:3" x14ac:dyDescent="0.2">
      <c r="A38" t="s">
        <v>776</v>
      </c>
      <c r="B38" s="240">
        <v>3942.93</v>
      </c>
      <c r="C38" s="240">
        <v>669.8</v>
      </c>
    </row>
    <row r="39" spans="1:3" x14ac:dyDescent="0.2">
      <c r="A39" t="s">
        <v>777</v>
      </c>
      <c r="B39" s="240">
        <v>48780.37</v>
      </c>
      <c r="C39" s="240">
        <v>4941.97</v>
      </c>
    </row>
    <row r="40" spans="1:3" x14ac:dyDescent="0.2">
      <c r="A40" t="str">
        <f>IF(B36=B40,IF(C36=C40,"Check Total OK","Check Total Error"),"Check Total Error")</f>
        <v>Check Total OK</v>
      </c>
      <c r="B40" s="231">
        <f>SUM(B37:B39)</f>
        <v>70823.3</v>
      </c>
      <c r="C40" s="231">
        <f>SUM(C37:C39)</f>
        <v>10208.09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PITTSFIELD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5607376.7300000004</v>
      </c>
      <c r="D5" s="20">
        <f>SUM('DOE25'!L198:L201)+SUM('DOE25'!L216:L219)+SUM('DOE25'!L234:L237)-F5-G5-H5</f>
        <v>5590870.3700000001</v>
      </c>
      <c r="E5" s="243"/>
      <c r="F5" s="244"/>
      <c r="G5" s="53">
        <f>SUM('DOE25'!J198:J201)+SUM('DOE25'!J216:J219)+SUM('DOE25'!J234:J237)</f>
        <v>346.46000000000004</v>
      </c>
      <c r="H5" s="53">
        <f>SUM('DOE25'!K198:K201)+SUM('DOE25'!K216:K219)+SUM('DOE25'!K234:K237)</f>
        <v>16159.900000000001</v>
      </c>
      <c r="I5" s="256"/>
    </row>
    <row r="6" spans="1:9" x14ac:dyDescent="0.2">
      <c r="A6" s="32">
        <v>2100</v>
      </c>
      <c r="B6" t="s">
        <v>796</v>
      </c>
      <c r="C6" s="276">
        <f t="shared" si="0"/>
        <v>1069267.2200000002</v>
      </c>
      <c r="D6" s="20">
        <f>'DOE25'!L203+'DOE25'!L221+'DOE25'!L239-F6-G6-H6</f>
        <v>1068390.2200000002</v>
      </c>
      <c r="E6" s="243"/>
      <c r="F6" s="244"/>
      <c r="G6" s="53">
        <f>'DOE25'!J203+'DOE25'!J221+'DOE25'!J239</f>
        <v>0</v>
      </c>
      <c r="H6" s="53">
        <f>'DOE25'!K203+'DOE25'!K221+'DOE25'!K239</f>
        <v>877</v>
      </c>
      <c r="I6" s="256"/>
    </row>
    <row r="7" spans="1:9" x14ac:dyDescent="0.2">
      <c r="A7" s="32">
        <v>2200</v>
      </c>
      <c r="B7" t="s">
        <v>821</v>
      </c>
      <c r="C7" s="276">
        <f t="shared" si="0"/>
        <v>507803.45999999996</v>
      </c>
      <c r="D7" s="20">
        <f>'DOE25'!L204+'DOE25'!L222+'DOE25'!L240-F7-G7-H7</f>
        <v>475125.48</v>
      </c>
      <c r="E7" s="243"/>
      <c r="F7" s="244"/>
      <c r="G7" s="53">
        <f>'DOE25'!J204+'DOE25'!J222+'DOE25'!J240</f>
        <v>32079</v>
      </c>
      <c r="H7" s="53">
        <f>'DOE25'!K204+'DOE25'!K222+'DOE25'!K240</f>
        <v>598.98</v>
      </c>
      <c r="I7" s="256"/>
    </row>
    <row r="8" spans="1:9" x14ac:dyDescent="0.2">
      <c r="A8" s="32">
        <v>2300</v>
      </c>
      <c r="B8" t="s">
        <v>797</v>
      </c>
      <c r="C8" s="276">
        <f t="shared" si="0"/>
        <v>356050.01999999996</v>
      </c>
      <c r="D8" s="243"/>
      <c r="E8" s="20">
        <f>'DOE25'!L205+'DOE25'!L223+'DOE25'!L241-F8-G8-H8-D9-D11</f>
        <v>349751.05</v>
      </c>
      <c r="F8" s="244"/>
      <c r="G8" s="53">
        <f>'DOE25'!J205+'DOE25'!J223+'DOE25'!J241</f>
        <v>0</v>
      </c>
      <c r="H8" s="53">
        <f>'DOE25'!K205+'DOE25'!K223+'DOE25'!K241</f>
        <v>6298.9699999999993</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767683.62000000011</v>
      </c>
      <c r="D12" s="20">
        <f>'DOE25'!L206+'DOE25'!L224+'DOE25'!L242-F12-G12-H12</f>
        <v>763725.21000000008</v>
      </c>
      <c r="E12" s="243"/>
      <c r="F12" s="244"/>
      <c r="G12" s="53">
        <f>'DOE25'!J206+'DOE25'!J224+'DOE25'!J242</f>
        <v>0</v>
      </c>
      <c r="H12" s="53">
        <f>'DOE25'!K206+'DOE25'!K224+'DOE25'!K242</f>
        <v>3958.41</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1173826.18</v>
      </c>
      <c r="D14" s="20">
        <f>'DOE25'!L208+'DOE25'!L226+'DOE25'!L244-F14-G14-H14</f>
        <v>1153880.51</v>
      </c>
      <c r="E14" s="243"/>
      <c r="F14" s="244"/>
      <c r="G14" s="53">
        <f>'DOE25'!J208+'DOE25'!J226+'DOE25'!J244</f>
        <v>19945.670000000002</v>
      </c>
      <c r="H14" s="53">
        <f>'DOE25'!K208+'DOE25'!K226+'DOE25'!K244</f>
        <v>0</v>
      </c>
      <c r="I14" s="256"/>
    </row>
    <row r="15" spans="1:9" x14ac:dyDescent="0.2">
      <c r="A15" s="32">
        <v>2700</v>
      </c>
      <c r="B15" t="s">
        <v>799</v>
      </c>
      <c r="C15" s="276">
        <f t="shared" si="0"/>
        <v>445951.72000000003</v>
      </c>
      <c r="D15" s="20">
        <f>'DOE25'!L209+'DOE25'!L227+'DOE25'!L245-F15-G15-H15</f>
        <v>445951.72000000003</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280237.5</v>
      </c>
      <c r="D25" s="243"/>
      <c r="E25" s="243"/>
      <c r="F25" s="255"/>
      <c r="G25" s="253"/>
      <c r="H25" s="253"/>
      <c r="I25" s="254">
        <f>'DOE25'!L261+'DOE25'!L262+'DOE25'!L342+'DOE25'!L343</f>
        <v>280237.5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296433.27999999997</v>
      </c>
      <c r="D29" s="284">
        <f>'DOE25'!L359+'DOE25'!L360+'DOE25'!L361-'DOE25'!I368-F29-G29-H29</f>
        <v>296433.27999999997</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621002.64999999991</v>
      </c>
      <c r="D31" s="20">
        <f>'DOE25'!L291+'DOE25'!L310+'DOE25'!L329+'DOE25'!L334+'DOE25'!L335+'DOE25'!L336-F31-G31-H31</f>
        <v>583948.62999999989</v>
      </c>
      <c r="E31" s="243"/>
      <c r="F31" s="244"/>
      <c r="G31" s="53">
        <f>'DOE25'!J291+'DOE25'!J310+'DOE25'!J329+'DOE25'!J334+'DOE25'!J335+'DOE25'!J336</f>
        <v>35587.86</v>
      </c>
      <c r="H31" s="53">
        <f>'DOE25'!K291+'DOE25'!K310+'DOE25'!K329+'DOE25'!K334+'DOE25'!K335+'DOE25'!K336</f>
        <v>1466.16</v>
      </c>
      <c r="I31" s="256"/>
    </row>
    <row r="32" spans="1:9" ht="12" thickBot="1" x14ac:dyDescent="0.25">
      <c r="C32" s="277"/>
      <c r="G32" s="251"/>
      <c r="H32" s="251"/>
      <c r="I32" s="258"/>
    </row>
    <row r="33" spans="1:9" ht="12" thickTop="1" x14ac:dyDescent="0.2">
      <c r="B33" t="s">
        <v>809</v>
      </c>
      <c r="D33" s="245">
        <f t="shared" ref="D33:I33" si="1">SUM(D5:D31)</f>
        <v>10378325.420000002</v>
      </c>
      <c r="E33" s="245">
        <f t="shared" si="1"/>
        <v>349751.05</v>
      </c>
      <c r="F33" s="245">
        <f t="shared" si="1"/>
        <v>0</v>
      </c>
      <c r="G33" s="245">
        <f t="shared" si="1"/>
        <v>87958.99</v>
      </c>
      <c r="H33" s="245">
        <f t="shared" si="1"/>
        <v>29359.42</v>
      </c>
      <c r="I33" s="245">
        <f t="shared" si="1"/>
        <v>280237.5</v>
      </c>
    </row>
    <row r="35" spans="1:9" ht="12" thickBot="1" x14ac:dyDescent="0.25">
      <c r="B35" s="251" t="s">
        <v>831</v>
      </c>
      <c r="D35" s="252">
        <f>E33</f>
        <v>349751.05</v>
      </c>
      <c r="E35" s="248"/>
    </row>
    <row r="36" spans="1:9" ht="12" thickTop="1" x14ac:dyDescent="0.2">
      <c r="B36" t="s">
        <v>810</v>
      </c>
      <c r="D36" s="20">
        <f>D33</f>
        <v>10378325.420000002</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2" sqref="B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PITTSFIELD SCHOOL DISTRICT</v>
      </c>
      <c r="B2" s="126">
        <f>'DOE25'!B2</f>
        <v>439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5483988.5799999991</v>
      </c>
      <c r="G4" s="303">
        <f>'DOE25'!L212+'DOE25'!L291</f>
        <v>5483988.5800000001</v>
      </c>
      <c r="H4" s="337">
        <f>F4-G4</f>
        <v>0</v>
      </c>
      <c r="I4" s="309" t="str">
        <f>IF(H4=0,"","Does not match DOE25 page 7 and 11 Totals!!")</f>
        <v/>
      </c>
      <c r="N4"/>
    </row>
    <row r="5" spans="1:18" x14ac:dyDescent="0.2">
      <c r="A5" s="21" t="s">
        <v>1362</v>
      </c>
      <c r="B5" s="304">
        <f>IFERROR(VLOOKUP(A5,'School Tables'!$C$3:$D$365,2,FALSE),"")</f>
        <v>26595</v>
      </c>
      <c r="C5" s="297" t="str">
        <f>IFERROR(INDEX('School Tables'!$B$3:$B$365,MATCH('School Level Expenditures'!B5,'School Tables'!$D$3:$D$365,0)),"")</f>
        <v>Pittsfield</v>
      </c>
      <c r="D5" s="294">
        <v>4850727.3499999996</v>
      </c>
      <c r="E5" s="294">
        <v>455419.47</v>
      </c>
      <c r="F5" s="312">
        <f>D5+E5</f>
        <v>5306146.8199999994</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177841.76</v>
      </c>
      <c r="E6" s="294"/>
      <c r="F6" s="307">
        <f t="shared" ref="F6:F20" si="0">D6+E6</f>
        <v>177841.76</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1633533.35</v>
      </c>
      <c r="G24" s="303">
        <f>'DOE25'!L230+'DOE25'!L310</f>
        <v>1633533.35</v>
      </c>
      <c r="H24" s="337">
        <f>F24-G24</f>
        <v>0</v>
      </c>
      <c r="I24" s="309" t="str">
        <f>IF(H24=0,"","Does not match DOE25 page 8 and 12 Totals!!")</f>
        <v/>
      </c>
      <c r="N24"/>
    </row>
    <row r="25" spans="1:14" x14ac:dyDescent="0.2">
      <c r="A25" s="21" t="s">
        <v>1363</v>
      </c>
      <c r="B25" s="304">
        <f>IFERROR(VLOOKUP(A25,'School Tables'!$I$3:$J$80,2,FALSE),"")</f>
        <v>26550</v>
      </c>
      <c r="C25" s="297" t="str">
        <f t="array" ref="C25">IFERROR(INDEX('School Tables'!$H$3:$H$80,MATCH('School Level Expenditures'!B25,'School Tables'!$J$3:$J$80,0)),"")</f>
        <v>Pittsfield</v>
      </c>
      <c r="D25" s="294">
        <v>1393202.85</v>
      </c>
      <c r="E25" s="294">
        <v>42433.74</v>
      </c>
      <c r="F25" s="307">
        <f>D25+E25</f>
        <v>1435636.59</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197896.76</v>
      </c>
      <c r="E26" s="294"/>
      <c r="F26" s="307">
        <f t="shared" ref="F26:F32" si="1">D26+E26</f>
        <v>197896.76</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3431439.67</v>
      </c>
      <c r="G36" s="303">
        <f>'DOE25'!L248+'DOE25'!L329</f>
        <v>3431439.6699999995</v>
      </c>
      <c r="H36" s="337">
        <f>F36-G36</f>
        <v>0</v>
      </c>
      <c r="I36" s="309" t="str">
        <f>IF(H36=0,"","Does not match DOE25 page 9 and 13 Totals!!")</f>
        <v/>
      </c>
      <c r="N36"/>
    </row>
    <row r="37" spans="1:14" x14ac:dyDescent="0.2">
      <c r="A37" s="21" t="s">
        <v>1364</v>
      </c>
      <c r="B37" s="304">
        <f>IFERROR(VLOOKUP(A37,'School Tables'!$O$3:$P$118,2,FALSE),"")</f>
        <v>22500</v>
      </c>
      <c r="C37" s="297" t="str">
        <f t="array" ref="C37">IFERROR(INDEX('School Tables'!$N$3:$N$118,MATCH('School Level Expenditures'!B37,'School Tables'!$P$3:$P$118,0)),"")</f>
        <v>Pittsfield</v>
      </c>
      <c r="D37" s="294">
        <v>2891802.02</v>
      </c>
      <c r="E37" s="294">
        <v>123149.44</v>
      </c>
      <c r="F37" s="307">
        <f>D37+E37</f>
        <v>3014951.46</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416488.21</v>
      </c>
      <c r="E38" s="294"/>
      <c r="F38" s="307">
        <f t="shared" ref="F38:F41" si="2">D38+E38</f>
        <v>416488.21</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PITTSFIELD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773723.6</v>
      </c>
      <c r="D8" s="95">
        <f>'DOE25'!G9</f>
        <v>14287.2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184247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183031.13</v>
      </c>
      <c r="D11" s="95">
        <f>'DOE25'!G12</f>
        <v>0</v>
      </c>
      <c r="E11" s="95">
        <f>'DOE25'!H12</f>
        <v>0</v>
      </c>
      <c r="F11" s="95">
        <f>'DOE25'!I12</f>
        <v>0</v>
      </c>
      <c r="G11" s="95">
        <f>'DOE25'!J12</f>
        <v>10200.1</v>
      </c>
      <c r="H11" s="124"/>
      <c r="I11" s="124"/>
    </row>
    <row r="12" spans="1:9" x14ac:dyDescent="0.2">
      <c r="A12" s="1" t="s">
        <v>143</v>
      </c>
      <c r="B12" s="6">
        <v>140</v>
      </c>
      <c r="C12" s="95">
        <f>'DOE25'!F13</f>
        <v>384467</v>
      </c>
      <c r="D12" s="95">
        <f>'DOE25'!G13</f>
        <v>103537.11</v>
      </c>
      <c r="E12" s="95">
        <f>'DOE25'!H13</f>
        <v>101706</v>
      </c>
      <c r="F12" s="95">
        <f>'DOE25'!I13</f>
        <v>0</v>
      </c>
      <c r="G12" s="95">
        <f>'DOE25'!J13</f>
        <v>447112</v>
      </c>
      <c r="H12" s="124"/>
      <c r="I12" s="124"/>
    </row>
    <row r="13" spans="1:9" x14ac:dyDescent="0.2">
      <c r="A13" s="1" t="s">
        <v>144</v>
      </c>
      <c r="B13" s="6">
        <v>150</v>
      </c>
      <c r="C13" s="95">
        <f>'DOE25'!F14</f>
        <v>29961.77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8159.26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1371183.5</v>
      </c>
      <c r="D18" s="41">
        <f>SUM(D8:D17)</f>
        <v>125983.56999999999</v>
      </c>
      <c r="E18" s="41">
        <f>SUM(E8:E17)</f>
        <v>101706</v>
      </c>
      <c r="F18" s="41">
        <f>SUM(F8:F17)</f>
        <v>0</v>
      </c>
      <c r="G18" s="41">
        <f>SUM(G8:G17)</f>
        <v>641559.1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10200.64</v>
      </c>
      <c r="D21" s="95">
        <f>'DOE25'!G22</f>
        <v>96179.42</v>
      </c>
      <c r="E21" s="95">
        <f>'DOE25'!H22</f>
        <v>86852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367518.25</v>
      </c>
      <c r="D23" s="95">
        <f>'DOE25'!G24</f>
        <v>9453.0499999999993</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471344.93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14854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849063.82000000007</v>
      </c>
      <c r="D31" s="41">
        <f>SUM(D21:D30)</f>
        <v>105632.47</v>
      </c>
      <c r="E31" s="41">
        <f>SUM(E21:E30)</f>
        <v>101706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8159.26</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184247</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12191.84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457312.1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372119.68</v>
      </c>
      <c r="D49" s="24" t="s">
        <v>288</v>
      </c>
      <c r="E49" s="24" t="s">
        <v>288</v>
      </c>
      <c r="F49" s="24" t="s">
        <v>288</v>
      </c>
      <c r="G49" s="24" t="s">
        <v>288</v>
      </c>
      <c r="H49" s="124"/>
      <c r="I49" s="124"/>
    </row>
    <row r="50" spans="1:9" ht="12.75" thickTop="1" thickBot="1" x14ac:dyDescent="0.25">
      <c r="A50" s="38" t="s">
        <v>884</v>
      </c>
      <c r="B50" s="48"/>
      <c r="C50" s="41">
        <f>SUM(C34:C49)</f>
        <v>522119.67999999999</v>
      </c>
      <c r="D50" s="41">
        <f>SUM(D34:D49)</f>
        <v>20351.099999999999</v>
      </c>
      <c r="E50" s="41">
        <f>SUM(E34:E49)</f>
        <v>0</v>
      </c>
      <c r="F50" s="41">
        <f>SUM(F34:F49)</f>
        <v>0</v>
      </c>
      <c r="G50" s="41">
        <f>SUM(G34:G49)</f>
        <v>641559.1</v>
      </c>
      <c r="H50" s="124"/>
      <c r="I50" s="124"/>
    </row>
    <row r="51" spans="1:9" ht="12" thickTop="1" x14ac:dyDescent="0.2">
      <c r="A51" s="38" t="s">
        <v>885</v>
      </c>
      <c r="B51" s="2"/>
      <c r="C51" s="41">
        <f>C50+C31</f>
        <v>1371183.5</v>
      </c>
      <c r="D51" s="41">
        <f>D50+D31</f>
        <v>125983.57</v>
      </c>
      <c r="E51" s="41">
        <f>E50+E31</f>
        <v>101706</v>
      </c>
      <c r="F51" s="41">
        <f>F50+F31</f>
        <v>0</v>
      </c>
      <c r="G51" s="41">
        <f>G50+G31</f>
        <v>641559.1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4931113</v>
      </c>
      <c r="D56" s="95">
        <f>'DOE25'!G60</f>
        <v>0</v>
      </c>
      <c r="E56" s="95">
        <f>'DOE25'!H60</f>
        <v>0</v>
      </c>
      <c r="F56" s="95">
        <f>'DOE25'!I60</f>
        <v>0</v>
      </c>
      <c r="G56" s="95">
        <f>'DOE25'!J60</f>
        <v>0</v>
      </c>
      <c r="H56"/>
      <c r="I56"/>
    </row>
    <row r="57" spans="1:9" x14ac:dyDescent="0.2">
      <c r="A57" s="1" t="s">
        <v>164</v>
      </c>
      <c r="B57" s="6" t="s">
        <v>165</v>
      </c>
      <c r="C57" s="95">
        <f>'DOE25'!F79</f>
        <v>492.41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162.80000000000001</v>
      </c>
      <c r="D59" s="95">
        <f>'DOE25'!G96</f>
        <v>4.08</v>
      </c>
      <c r="E59" s="95">
        <f>'DOE25'!H96</f>
        <v>0</v>
      </c>
      <c r="F59" s="95">
        <f>'DOE25'!I96</f>
        <v>0</v>
      </c>
      <c r="G59" s="95">
        <f>'DOE25'!J96</f>
        <v>5784.2</v>
      </c>
      <c r="H59"/>
      <c r="I59"/>
    </row>
    <row r="60" spans="1:9" x14ac:dyDescent="0.2">
      <c r="A60" s="1" t="s">
        <v>170</v>
      </c>
      <c r="B60" s="118" t="s">
        <v>171</v>
      </c>
      <c r="C60" s="24" t="s">
        <v>288</v>
      </c>
      <c r="D60" s="95">
        <f>'DOE25'!G97</f>
        <v>42987.8</v>
      </c>
      <c r="E60" s="24" t="s">
        <v>288</v>
      </c>
      <c r="F60" s="24" t="s">
        <v>288</v>
      </c>
      <c r="G60" s="24" t="s">
        <v>288</v>
      </c>
      <c r="H60"/>
      <c r="I60"/>
    </row>
    <row r="61" spans="1:9" ht="12" thickBot="1" x14ac:dyDescent="0.25">
      <c r="A61" s="1" t="s">
        <v>172</v>
      </c>
      <c r="B61" s="118" t="s">
        <v>173</v>
      </c>
      <c r="C61" s="95">
        <f>SUM('DOE25'!F98:F110)</f>
        <v>12800</v>
      </c>
      <c r="D61" s="95">
        <f>SUM('DOE25'!G98:G110)</f>
        <v>0</v>
      </c>
      <c r="E61" s="95">
        <f>SUM('DOE25'!H98:H110)</f>
        <v>54572.79</v>
      </c>
      <c r="F61" s="95">
        <f>SUM('DOE25'!I98:I110)</f>
        <v>0</v>
      </c>
      <c r="G61" s="95">
        <f>SUM('DOE25'!J98:J110)</f>
        <v>-1020.82</v>
      </c>
      <c r="H61"/>
      <c r="I61"/>
    </row>
    <row r="62" spans="1:9" ht="12.75" thickTop="1" thickBot="1" x14ac:dyDescent="0.25">
      <c r="A62" s="29" t="s">
        <v>174</v>
      </c>
      <c r="B62" s="6"/>
      <c r="C62" s="130">
        <f>SUM(C57:C61)</f>
        <v>13455.21</v>
      </c>
      <c r="D62" s="130">
        <f>SUM(D57:D61)</f>
        <v>42991.880000000005</v>
      </c>
      <c r="E62" s="130">
        <f>SUM(E57:E61)</f>
        <v>54572.79</v>
      </c>
      <c r="F62" s="130">
        <f>SUM(F57:F61)</f>
        <v>0</v>
      </c>
      <c r="G62" s="130">
        <f>SUM(G57:G61)</f>
        <v>4763.38</v>
      </c>
      <c r="H62"/>
      <c r="I62"/>
    </row>
    <row r="63" spans="1:9" ht="12" thickTop="1" x14ac:dyDescent="0.2">
      <c r="A63" s="29" t="s">
        <v>175</v>
      </c>
      <c r="B63" s="6"/>
      <c r="C63" s="22">
        <f>C56+C62</f>
        <v>4944568.21</v>
      </c>
      <c r="D63" s="22">
        <f>D56+D62</f>
        <v>42991.880000000005</v>
      </c>
      <c r="E63" s="22">
        <f>E56+E62</f>
        <v>54572.79</v>
      </c>
      <c r="F63" s="22">
        <f>F56+F62</f>
        <v>0</v>
      </c>
      <c r="G63" s="22">
        <f>G56+G62</f>
        <v>4763.38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4572131.9400000004</v>
      </c>
      <c r="D66" s="24" t="s">
        <v>288</v>
      </c>
      <c r="E66" s="24" t="s">
        <v>288</v>
      </c>
      <c r="F66" s="24" t="s">
        <v>288</v>
      </c>
      <c r="G66" s="24" t="s">
        <v>288</v>
      </c>
      <c r="H66"/>
      <c r="I66"/>
    </row>
    <row r="67" spans="1:9" x14ac:dyDescent="0.2">
      <c r="A67" s="1" t="s">
        <v>770</v>
      </c>
      <c r="B67" s="6">
        <v>3112</v>
      </c>
      <c r="C67" s="95">
        <f>'DOE25'!F118</f>
        <v>550135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3586.1</v>
      </c>
      <c r="D69" s="95">
        <f>'DOE25'!G120</f>
        <v>0</v>
      </c>
      <c r="E69" s="95">
        <f>'DOE25'!H120</f>
        <v>0</v>
      </c>
      <c r="F69" s="95">
        <f>'DOE25'!I120</f>
        <v>0</v>
      </c>
      <c r="G69" s="95">
        <f>'DOE25'!J120</f>
        <v>0</v>
      </c>
      <c r="H69"/>
      <c r="I69"/>
    </row>
    <row r="70" spans="1:9" ht="12" thickTop="1" x14ac:dyDescent="0.2">
      <c r="A70" s="29" t="s">
        <v>252</v>
      </c>
      <c r="B70" s="2"/>
      <c r="C70" s="139">
        <f>SUM(C66:C69)</f>
        <v>5125853.04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89923.26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410065.44</v>
      </c>
      <c r="D75" s="24" t="s">
        <v>288</v>
      </c>
      <c r="E75" s="24" t="s">
        <v>288</v>
      </c>
      <c r="F75" s="24" t="s">
        <v>288</v>
      </c>
      <c r="G75" s="24" t="s">
        <v>288</v>
      </c>
      <c r="H75"/>
      <c r="I75"/>
    </row>
    <row r="76" spans="1:9" x14ac:dyDescent="0.2">
      <c r="A76" s="1" t="s">
        <v>257</v>
      </c>
      <c r="B76" s="6" t="s">
        <v>179</v>
      </c>
      <c r="C76" s="95">
        <f>SUM('DOE25'!F127:F130)</f>
        <v>8211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5189.8500000000004</v>
      </c>
      <c r="E77" s="95">
        <f>SUM('DOE25'!H131:H135)</f>
        <v>0</v>
      </c>
      <c r="F77" s="95">
        <f>SUM('DOE25'!I131:I135)</f>
        <v>0</v>
      </c>
      <c r="G77" s="95">
        <f>SUM('DOE25'!J131:J135)</f>
        <v>0</v>
      </c>
      <c r="H77"/>
      <c r="I77"/>
    </row>
    <row r="78" spans="1:9" ht="12.75" thickTop="1" thickBot="1" x14ac:dyDescent="0.25">
      <c r="A78" s="29" t="s">
        <v>259</v>
      </c>
      <c r="B78" s="6"/>
      <c r="C78" s="130">
        <f>SUM(C72:C77)</f>
        <v>508199.7</v>
      </c>
      <c r="D78" s="130">
        <f>SUM(D72:D77)</f>
        <v>5189.8500000000004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5634052.7400000002</v>
      </c>
      <c r="D81" s="130">
        <f>SUM(D79:D80)+D78+D70</f>
        <v>5189.8500000000004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39" t="s">
        <v>184</v>
      </c>
      <c r="C88" s="340">
        <f>SUM('DOE25'!F153:F162)</f>
        <v>18295.560000000001</v>
      </c>
      <c r="D88" s="340">
        <f>SUM('DOE25'!G153:G162)</f>
        <v>264788.25</v>
      </c>
      <c r="E88" s="340">
        <f>SUM('DOE25'!H153:H162)</f>
        <v>566429.8600000001</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18295.560000000001</v>
      </c>
      <c r="D91" s="131">
        <f>SUM(D85:D90)</f>
        <v>264788.25</v>
      </c>
      <c r="E91" s="131">
        <f>SUM(E85:E90)</f>
        <v>566429.8600000001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12109.35</v>
      </c>
      <c r="E96" s="95">
        <f>'DOE25'!H180</f>
        <v>0</v>
      </c>
      <c r="F96" s="95">
        <f>'DOE25'!I180</f>
        <v>0</v>
      </c>
      <c r="G96" s="95">
        <f>'DOE25'!J180</f>
        <v>3000</v>
      </c>
    </row>
    <row r="97" spans="1:7" x14ac:dyDescent="0.2">
      <c r="A97" t="s">
        <v>754</v>
      </c>
      <c r="B97" s="32" t="s">
        <v>188</v>
      </c>
      <c r="C97" s="95">
        <f>SUM('DOE25'!F181:F182)</f>
        <v>75215.48</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75215.48</v>
      </c>
      <c r="D103" s="86">
        <f>SUM(D93:D102)</f>
        <v>12109.35</v>
      </c>
      <c r="E103" s="86">
        <f>SUM(E93:E102)</f>
        <v>0</v>
      </c>
      <c r="F103" s="86">
        <f>SUM(F93:F102)</f>
        <v>0</v>
      </c>
      <c r="G103" s="86">
        <f>SUM(G93:G102)</f>
        <v>3000</v>
      </c>
    </row>
    <row r="104" spans="1:7" ht="12.75" thickTop="1" thickBot="1" x14ac:dyDescent="0.25">
      <c r="A104" s="33" t="s">
        <v>761</v>
      </c>
      <c r="C104" s="86">
        <f>C63+C81+C91+C103</f>
        <v>10672131.99</v>
      </c>
      <c r="D104" s="86">
        <f>D63+D81+D91+D103</f>
        <v>325079.32999999996</v>
      </c>
      <c r="E104" s="86">
        <f>E63+E81+E91+E103</f>
        <v>621002.65000000014</v>
      </c>
      <c r="F104" s="86">
        <f>F63+F81+F91+F103</f>
        <v>0</v>
      </c>
      <c r="G104" s="86">
        <f>G63+G81+G103</f>
        <v>7763.38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3148500.71</v>
      </c>
      <c r="D109" s="24" t="s">
        <v>288</v>
      </c>
      <c r="E109" s="95">
        <f>('DOE25'!L277)+('DOE25'!L296)+('DOE25'!L315)</f>
        <v>236257.27000000002</v>
      </c>
      <c r="F109" s="24" t="s">
        <v>288</v>
      </c>
      <c r="G109" s="24" t="s">
        <v>288</v>
      </c>
    </row>
    <row r="110" spans="1:7" x14ac:dyDescent="0.2">
      <c r="A110" t="s">
        <v>198</v>
      </c>
      <c r="B110" s="32" t="s">
        <v>199</v>
      </c>
      <c r="C110" s="95">
        <f>('DOE25'!L199)+('DOE25'!L217)+('DOE25'!L235)</f>
        <v>2335467.0300000003</v>
      </c>
      <c r="D110" s="24" t="s">
        <v>288</v>
      </c>
      <c r="E110" s="95">
        <f>('DOE25'!L278)+('DOE25'!L297)+('DOE25'!L316)</f>
        <v>81130.37999999999</v>
      </c>
      <c r="F110" s="24" t="s">
        <v>288</v>
      </c>
      <c r="G110" s="24" t="s">
        <v>288</v>
      </c>
    </row>
    <row r="111" spans="1:7" x14ac:dyDescent="0.2">
      <c r="A111" t="s">
        <v>200</v>
      </c>
      <c r="B111" s="32" t="s">
        <v>165</v>
      </c>
      <c r="C111" s="95">
        <f>('DOE25'!L200)+('DOE25'!L218)+('DOE25'!L236)</f>
        <v>24927.02</v>
      </c>
      <c r="D111" s="24" t="s">
        <v>288</v>
      </c>
      <c r="E111" s="95">
        <f>('DOE25'!L279)+('DOE25'!L298)+('DOE25'!L317)</f>
        <v>0</v>
      </c>
      <c r="F111" s="24" t="s">
        <v>288</v>
      </c>
      <c r="G111" s="24" t="s">
        <v>288</v>
      </c>
    </row>
    <row r="112" spans="1:7" x14ac:dyDescent="0.2">
      <c r="A112" t="s">
        <v>201</v>
      </c>
      <c r="B112" s="32" t="s">
        <v>167</v>
      </c>
      <c r="C112" s="95">
        <f>('DOE25'!L201)+('DOE25'!L219)+('DOE25'!L237)</f>
        <v>98481.97</v>
      </c>
      <c r="D112" s="24" t="s">
        <v>288</v>
      </c>
      <c r="E112" s="95">
        <f>+('DOE25'!L280)+('DOE25'!L299)+('DOE25'!L318)</f>
        <v>21288.760000000002</v>
      </c>
      <c r="F112" s="24" t="s">
        <v>288</v>
      </c>
      <c r="G112" s="24" t="s">
        <v>288</v>
      </c>
    </row>
    <row r="113" spans="1:7" x14ac:dyDescent="0.2">
      <c r="A113" t="s">
        <v>202</v>
      </c>
      <c r="B113" s="32" t="s">
        <v>169</v>
      </c>
      <c r="C113" s="95">
        <f>'DOE25'!L251</f>
        <v>7000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5614376.7299999995</v>
      </c>
      <c r="D115" s="86">
        <f>SUM(D109:D114)</f>
        <v>0</v>
      </c>
      <c r="E115" s="86">
        <f>SUM(E109:E114)</f>
        <v>338676.41000000003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1069267.2200000002</v>
      </c>
      <c r="D118" s="24" t="s">
        <v>288</v>
      </c>
      <c r="E118" s="95">
        <f>+('DOE25'!L282)+('DOE25'!L301)+('DOE25'!L320)</f>
        <v>118394.17</v>
      </c>
      <c r="F118" s="24" t="s">
        <v>288</v>
      </c>
      <c r="G118" s="24" t="s">
        <v>288</v>
      </c>
    </row>
    <row r="119" spans="1:7" x14ac:dyDescent="0.2">
      <c r="A119" t="s">
        <v>208</v>
      </c>
      <c r="B119" s="32" t="s">
        <v>209</v>
      </c>
      <c r="C119" s="95">
        <f>('DOE25'!L204)+('DOE25'!L222)+('DOE25'!L240)</f>
        <v>507803.45999999996</v>
      </c>
      <c r="D119" s="24" t="s">
        <v>288</v>
      </c>
      <c r="E119" s="95">
        <f>+('DOE25'!L283)+('DOE25'!L302)+('DOE25'!L321)</f>
        <v>113716.5</v>
      </c>
      <c r="F119" s="24" t="s">
        <v>288</v>
      </c>
      <c r="G119" s="24" t="s">
        <v>288</v>
      </c>
    </row>
    <row r="120" spans="1:7" x14ac:dyDescent="0.2">
      <c r="A120" t="s">
        <v>210</v>
      </c>
      <c r="B120" s="32" t="s">
        <v>211</v>
      </c>
      <c r="C120" s="95">
        <f>('DOE25'!L205)+('DOE25'!L223)+('DOE25'!L241)</f>
        <v>356050.01999999996</v>
      </c>
      <c r="D120" s="24" t="s">
        <v>288</v>
      </c>
      <c r="E120" s="95">
        <f>+('DOE25'!L284)+('DOE25'!L303)+('DOE25'!L322)</f>
        <v>0</v>
      </c>
      <c r="F120" s="24" t="s">
        <v>288</v>
      </c>
      <c r="G120" s="24" t="s">
        <v>288</v>
      </c>
    </row>
    <row r="121" spans="1:7" x14ac:dyDescent="0.2">
      <c r="A121" t="s">
        <v>212</v>
      </c>
      <c r="B121" s="32" t="s">
        <v>213</v>
      </c>
      <c r="C121" s="95">
        <f>('DOE25'!L206)+('DOE25'!L224)+('DOE25'!L242)</f>
        <v>767683.62000000011</v>
      </c>
      <c r="D121" s="24" t="s">
        <v>288</v>
      </c>
      <c r="E121" s="95">
        <f>+('DOE25'!L285)+('DOE25'!L304)+('DOE25'!L323)</f>
        <v>43820.93</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1173826.18</v>
      </c>
      <c r="D123" s="24" t="s">
        <v>288</v>
      </c>
      <c r="E123" s="95">
        <f>+('DOE25'!L287)+('DOE25'!L306)+('DOE25'!L325)</f>
        <v>1570.84</v>
      </c>
      <c r="F123" s="24" t="s">
        <v>288</v>
      </c>
      <c r="G123" s="24" t="s">
        <v>288</v>
      </c>
    </row>
    <row r="124" spans="1:7" x14ac:dyDescent="0.2">
      <c r="A124" t="s">
        <v>218</v>
      </c>
      <c r="B124" s="32" t="s">
        <v>219</v>
      </c>
      <c r="C124" s="95">
        <f>('DOE25'!L209)+('DOE25'!L227)+('DOE25'!L245+'DOE25'!L255)</f>
        <v>445951.72000000003</v>
      </c>
      <c r="D124" s="24" t="s">
        <v>288</v>
      </c>
      <c r="E124" s="95">
        <f>+('DOE25'!L288)+('DOE25'!L307)+('DOE25'!L326)</f>
        <v>4823.8</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321714.17</v>
      </c>
      <c r="E127" s="24" t="s">
        <v>288</v>
      </c>
      <c r="F127" s="24" t="s">
        <v>288</v>
      </c>
      <c r="G127" s="24" t="s">
        <v>288</v>
      </c>
    </row>
    <row r="128" spans="1:7" ht="12.75" thickTop="1" thickBot="1" x14ac:dyDescent="0.25">
      <c r="A128" s="33" t="s">
        <v>226</v>
      </c>
      <c r="C128" s="86">
        <f>SUM(C118:C127)</f>
        <v>4320582.22</v>
      </c>
      <c r="D128" s="86">
        <f>SUM(D118:D127)</f>
        <v>321714.17</v>
      </c>
      <c r="E128" s="86">
        <f>SUM(E118:E127)</f>
        <v>282326.24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265000</v>
      </c>
      <c r="D131" s="24" t="s">
        <v>288</v>
      </c>
      <c r="E131" s="129">
        <f>'DOE25'!L342</f>
        <v>0</v>
      </c>
      <c r="F131" s="24" t="s">
        <v>288</v>
      </c>
      <c r="G131" s="24" t="s">
        <v>288</v>
      </c>
    </row>
    <row r="132" spans="1:7" x14ac:dyDescent="0.2">
      <c r="A132" t="s">
        <v>230</v>
      </c>
      <c r="B132" s="32">
        <v>5120</v>
      </c>
      <c r="C132" s="95">
        <f>'DOE25'!L262</f>
        <v>15237.5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8196.9599999999991</v>
      </c>
    </row>
    <row r="135" spans="1:7" x14ac:dyDescent="0.2">
      <c r="A135" t="s">
        <v>233</v>
      </c>
      <c r="B135" s="32" t="s">
        <v>234</v>
      </c>
      <c r="C135" s="95">
        <f>'DOE25'!L264</f>
        <v>12109.35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44.14</v>
      </c>
      <c r="D138" s="24" t="s">
        <v>288</v>
      </c>
      <c r="E138" s="24" t="s">
        <v>288</v>
      </c>
      <c r="F138" s="24" t="s">
        <v>288</v>
      </c>
      <c r="G138" s="24" t="s">
        <v>288</v>
      </c>
    </row>
    <row r="139" spans="1:7" x14ac:dyDescent="0.2">
      <c r="A139" t="s">
        <v>239</v>
      </c>
      <c r="B139" s="32">
        <v>5252</v>
      </c>
      <c r="C139" s="95">
        <f>'DOE25'!L402</f>
        <v>12319.24</v>
      </c>
      <c r="D139" s="24" t="s">
        <v>288</v>
      </c>
      <c r="E139" s="24" t="s">
        <v>288</v>
      </c>
      <c r="F139" s="24" t="s">
        <v>288</v>
      </c>
      <c r="G139" s="24" t="s">
        <v>288</v>
      </c>
    </row>
    <row r="140" spans="1:7" x14ac:dyDescent="0.2">
      <c r="A140" t="s">
        <v>240</v>
      </c>
      <c r="B140" s="32">
        <v>5253</v>
      </c>
      <c r="C140" s="95">
        <f>'DOE25'!L408</f>
        <v>-4600.0000000000009</v>
      </c>
      <c r="D140" s="24" t="s">
        <v>288</v>
      </c>
      <c r="E140" s="24" t="s">
        <v>288</v>
      </c>
      <c r="F140" s="24" t="s">
        <v>288</v>
      </c>
      <c r="G140" s="24" t="s">
        <v>288</v>
      </c>
    </row>
    <row r="141" spans="1:7" x14ac:dyDescent="0.2">
      <c r="A141" t="s">
        <v>762</v>
      </c>
      <c r="B141" s="32">
        <v>5254</v>
      </c>
      <c r="C141" s="95">
        <f>('DOE25'!L267+'DOE25'!K348) - (C138+C139+C140)</f>
        <v>-4763.3799999999983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295346.84999999998</v>
      </c>
      <c r="D144" s="141">
        <f>SUM(D130:D143)</f>
        <v>0</v>
      </c>
      <c r="E144" s="141">
        <f>SUM(E130:E143)</f>
        <v>0</v>
      </c>
      <c r="F144" s="141">
        <f>SUM(F130:F143)</f>
        <v>0</v>
      </c>
      <c r="G144" s="141">
        <f>SUM(G130:G143)</f>
        <v>8196.9599999999991</v>
      </c>
    </row>
    <row r="145" spans="1:9" ht="12.75" thickTop="1" thickBot="1" x14ac:dyDescent="0.25">
      <c r="A145" s="33" t="s">
        <v>244</v>
      </c>
      <c r="C145" s="86">
        <f>(C115+C128+C144)</f>
        <v>10230305.799999999</v>
      </c>
      <c r="D145" s="86">
        <f>(D115+D128+D144)</f>
        <v>321714.17</v>
      </c>
      <c r="E145" s="86">
        <f>(E115+E128+E144)</f>
        <v>621002.65</v>
      </c>
      <c r="F145" s="86">
        <f>(F115+F128+F144)</f>
        <v>0</v>
      </c>
      <c r="G145" s="86">
        <f>(G115+G128+G144)</f>
        <v>8196.9599999999991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12/99</v>
      </c>
      <c r="C152" s="152">
        <f>'DOE25'!G492</f>
        <v>0</v>
      </c>
      <c r="D152" s="152">
        <f>'DOE25'!H492</f>
        <v>0</v>
      </c>
      <c r="E152" s="152">
        <f>'DOE25'!I492</f>
        <v>0</v>
      </c>
      <c r="F152" s="152">
        <f>'DOE25'!J492</f>
        <v>0</v>
      </c>
      <c r="G152" s="24" t="s">
        <v>288</v>
      </c>
    </row>
    <row r="153" spans="1:9" x14ac:dyDescent="0.2">
      <c r="A153" s="136" t="s">
        <v>29</v>
      </c>
      <c r="B153" s="152" t="str">
        <f>'DOE25'!F493</f>
        <v>01/20</v>
      </c>
      <c r="C153" s="152">
        <f>'DOE25'!G493</f>
        <v>0</v>
      </c>
      <c r="D153" s="152">
        <f>'DOE25'!H493</f>
        <v>0</v>
      </c>
      <c r="E153" s="152">
        <f>'DOE25'!I493</f>
        <v>0</v>
      </c>
      <c r="F153" s="152">
        <f>'DOE25'!J493</f>
        <v>0</v>
      </c>
      <c r="G153" s="24" t="s">
        <v>288</v>
      </c>
    </row>
    <row r="154" spans="1:9" x14ac:dyDescent="0.2">
      <c r="A154" s="136" t="s">
        <v>30</v>
      </c>
      <c r="B154" s="137">
        <f>'DOE25'!F494</f>
        <v>5300000</v>
      </c>
      <c r="C154" s="137">
        <f>'DOE25'!G494</f>
        <v>0</v>
      </c>
      <c r="D154" s="137">
        <f>'DOE25'!H494</f>
        <v>0</v>
      </c>
      <c r="E154" s="137">
        <f>'DOE25'!I494</f>
        <v>0</v>
      </c>
      <c r="F154" s="137">
        <f>'DOE25'!J494</f>
        <v>0</v>
      </c>
      <c r="G154" s="24" t="s">
        <v>288</v>
      </c>
    </row>
    <row r="155" spans="1:9" x14ac:dyDescent="0.2">
      <c r="A155" s="136" t="s">
        <v>31</v>
      </c>
      <c r="B155" s="137">
        <f>'DOE25'!F495</f>
        <v>5.58</v>
      </c>
      <c r="C155" s="137">
        <f>'DOE25'!G495</f>
        <v>0</v>
      </c>
      <c r="D155" s="137">
        <f>'DOE25'!H495</f>
        <v>0</v>
      </c>
      <c r="E155" s="137">
        <f>'DOE25'!I495</f>
        <v>0</v>
      </c>
      <c r="F155" s="137">
        <f>'DOE25'!J495</f>
        <v>0</v>
      </c>
      <c r="G155" s="24" t="s">
        <v>288</v>
      </c>
    </row>
    <row r="156" spans="1:9" x14ac:dyDescent="0.2">
      <c r="A156" s="22" t="s">
        <v>32</v>
      </c>
      <c r="B156" s="137">
        <f>'DOE25'!F496</f>
        <v>265000</v>
      </c>
      <c r="C156" s="137">
        <f>'DOE25'!G496</f>
        <v>0</v>
      </c>
      <c r="D156" s="137">
        <f>'DOE25'!H496</f>
        <v>0</v>
      </c>
      <c r="E156" s="137">
        <f>'DOE25'!I496</f>
        <v>0</v>
      </c>
      <c r="F156" s="137">
        <f>'DOE25'!J496</f>
        <v>0</v>
      </c>
      <c r="G156" s="138">
        <f>SUM(B156:F156)</f>
        <v>265000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265000</v>
      </c>
      <c r="C158" s="137">
        <f>'DOE25'!G498</f>
        <v>0</v>
      </c>
      <c r="D158" s="137">
        <f>'DOE25'!H498</f>
        <v>0</v>
      </c>
      <c r="E158" s="137">
        <f>'DOE25'!I498</f>
        <v>0</v>
      </c>
      <c r="F158" s="137">
        <f>'DOE25'!J498</f>
        <v>0</v>
      </c>
      <c r="G158" s="138">
        <f t="shared" si="0"/>
        <v>265000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PITTSFIELD SCHOOL DISTRICT</v>
      </c>
    </row>
    <row r="3" spans="1:4" x14ac:dyDescent="0.2">
      <c r="B3" s="188" t="s">
        <v>1587</v>
      </c>
    </row>
    <row r="4" spans="1:4" x14ac:dyDescent="0.2">
      <c r="B4" t="s">
        <v>61</v>
      </c>
      <c r="C4" s="179">
        <f>IF('DOE25'!F666+'DOE25'!F671=0,0,ROUND('DOE25'!F673,0))</f>
        <v>16334</v>
      </c>
    </row>
    <row r="5" spans="1:4" x14ac:dyDescent="0.2">
      <c r="B5" t="s">
        <v>700</v>
      </c>
      <c r="C5" s="179">
        <f>IF('DOE25'!G666+'DOE25'!G671=0,0,ROUND('DOE25'!G673,0))</f>
        <v>14185</v>
      </c>
    </row>
    <row r="6" spans="1:4" x14ac:dyDescent="0.2">
      <c r="B6" t="s">
        <v>62</v>
      </c>
      <c r="C6" s="179">
        <f>IF('DOE25'!H666+'DOE25'!H671=0,0,ROUND('DOE25'!H673,0))</f>
        <v>21132</v>
      </c>
    </row>
    <row r="7" spans="1:4" x14ac:dyDescent="0.2">
      <c r="B7" t="s">
        <v>701</v>
      </c>
      <c r="C7" s="179">
        <f>IF('DOE25'!I666+'DOE25'!I671=0,0,ROUND('DOE25'!I673,0))</f>
        <v>17165</v>
      </c>
    </row>
    <row r="9" spans="1:4" x14ac:dyDescent="0.2">
      <c r="A9" s="187" t="s">
        <v>94</v>
      </c>
      <c r="B9" s="188" t="s">
        <v>1588</v>
      </c>
      <c r="C9" s="181" t="s">
        <v>720</v>
      </c>
      <c r="D9" s="181" t="s">
        <v>721</v>
      </c>
    </row>
    <row r="10" spans="1:4" x14ac:dyDescent="0.2">
      <c r="A10">
        <v>1100</v>
      </c>
      <c r="B10" t="s">
        <v>702</v>
      </c>
      <c r="C10" s="179">
        <f>ROUND('DOE25'!L198+'DOE25'!L216+'DOE25'!L234+'DOE25'!L277+'DOE25'!L296+'DOE25'!L315,0)</f>
        <v>3384758</v>
      </c>
      <c r="D10" s="182">
        <f>ROUND((C10/$C$28)*100,1)</f>
        <v>31.2</v>
      </c>
    </row>
    <row r="11" spans="1:4" x14ac:dyDescent="0.2">
      <c r="A11">
        <v>1200</v>
      </c>
      <c r="B11" t="s">
        <v>703</v>
      </c>
      <c r="C11" s="179">
        <f>ROUND('DOE25'!L199+'DOE25'!L217+'DOE25'!L235+'DOE25'!L278+'DOE25'!L297+'DOE25'!L316,0)</f>
        <v>2416597</v>
      </c>
      <c r="D11" s="182">
        <f>ROUND((C11/$C$28)*100,1)</f>
        <v>22.3</v>
      </c>
    </row>
    <row r="12" spans="1:4" x14ac:dyDescent="0.2">
      <c r="A12">
        <v>1300</v>
      </c>
      <c r="B12" t="s">
        <v>704</v>
      </c>
      <c r="C12" s="179">
        <f>ROUND('DOE25'!L200+'DOE25'!L218+'DOE25'!L236+'DOE25'!L279+'DOE25'!L298+'DOE25'!L317,0)</f>
        <v>24927</v>
      </c>
      <c r="D12" s="182">
        <f>ROUND((C12/$C$28)*100,1)</f>
        <v>0.2</v>
      </c>
    </row>
    <row r="13" spans="1:4" x14ac:dyDescent="0.2">
      <c r="A13">
        <v>1400</v>
      </c>
      <c r="B13" t="s">
        <v>705</v>
      </c>
      <c r="C13" s="179">
        <f>ROUND('DOE25'!L201+'DOE25'!L219+'DOE25'!L237+'DOE25'!L280+'DOE25'!L299+'DOE25'!L318,0)</f>
        <v>119771</v>
      </c>
      <c r="D13" s="182">
        <f>ROUND((C13/$C$28)*100,1)</f>
        <v>1.1000000000000001</v>
      </c>
    </row>
    <row r="14" spans="1:4" x14ac:dyDescent="0.2">
      <c r="D14" s="182"/>
    </row>
    <row r="15" spans="1:4" x14ac:dyDescent="0.2">
      <c r="A15">
        <v>2100</v>
      </c>
      <c r="B15" t="s">
        <v>706</v>
      </c>
      <c r="C15" s="179">
        <f>ROUND('DOE25'!L203+'DOE25'!L221+'DOE25'!L239+'DOE25'!L282+'DOE25'!L301+'DOE25'!L320,0)</f>
        <v>1187661</v>
      </c>
      <c r="D15" s="182">
        <f t="shared" ref="D15:D27" si="0">ROUND((C15/$C$28)*100,1)</f>
        <v>10.9</v>
      </c>
    </row>
    <row r="16" spans="1:4" x14ac:dyDescent="0.2">
      <c r="A16">
        <v>2200</v>
      </c>
      <c r="B16" t="s">
        <v>707</v>
      </c>
      <c r="C16" s="179">
        <f>ROUND('DOE25'!L204+'DOE25'!L222+'DOE25'!L240+'DOE25'!L283+'DOE25'!L302+'DOE25'!L321,0)</f>
        <v>621520</v>
      </c>
      <c r="D16" s="182">
        <f t="shared" si="0"/>
        <v>5.7</v>
      </c>
    </row>
    <row r="17" spans="1:4" x14ac:dyDescent="0.2">
      <c r="A17" s="183" t="s">
        <v>723</v>
      </c>
      <c r="B17" t="s">
        <v>738</v>
      </c>
      <c r="C17" s="179">
        <f>ROUND('DOE25'!L205+'DOE25'!L210+'DOE25'!L223+'DOE25'!L228+'DOE25'!L241+'DOE25'!L246+'DOE25'!L284+'DOE25'!L289+'DOE25'!L303+'DOE25'!L308+'DOE25'!L322+'DOE25'!L327,0)</f>
        <v>356050</v>
      </c>
      <c r="D17" s="182">
        <f t="shared" si="0"/>
        <v>3.3</v>
      </c>
    </row>
    <row r="18" spans="1:4" x14ac:dyDescent="0.2">
      <c r="A18">
        <v>2400</v>
      </c>
      <c r="B18" t="s">
        <v>711</v>
      </c>
      <c r="C18" s="179">
        <f>ROUND('DOE25'!L206+'DOE25'!L224+'DOE25'!L242+'DOE25'!L285+'DOE25'!L304+'DOE25'!L323,0)</f>
        <v>811505</v>
      </c>
      <c r="D18" s="182">
        <f t="shared" si="0"/>
        <v>7.5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1175397</v>
      </c>
      <c r="D20" s="182">
        <f t="shared" si="0"/>
        <v>10.8</v>
      </c>
    </row>
    <row r="21" spans="1:4" x14ac:dyDescent="0.2">
      <c r="A21">
        <v>2700</v>
      </c>
      <c r="B21" t="s">
        <v>710</v>
      </c>
      <c r="C21" s="179">
        <f>ROUND('DOE25'!L209+'DOE25'!L227+'DOE25'!L245+'DOE25'!L288+'DOE25'!L307+'DOE25'!L326,0)</f>
        <v>450776</v>
      </c>
      <c r="D21" s="182">
        <f t="shared" si="0"/>
        <v>4.2</v>
      </c>
    </row>
    <row r="22" spans="1:4" x14ac:dyDescent="0.2">
      <c r="A22">
        <v>2900</v>
      </c>
      <c r="B22" t="s">
        <v>712</v>
      </c>
      <c r="C22" s="179">
        <v>0</v>
      </c>
      <c r="D22" s="182">
        <f t="shared" si="0"/>
        <v>0</v>
      </c>
    </row>
    <row r="23" spans="1:4" x14ac:dyDescent="0.2">
      <c r="A23">
        <v>1500</v>
      </c>
      <c r="B23" t="s">
        <v>714</v>
      </c>
      <c r="C23" s="179">
        <f>ROUND('DOE25'!L251+'DOE25'!L333,0)</f>
        <v>7000</v>
      </c>
      <c r="D23" s="182">
        <f t="shared" si="0"/>
        <v>0.1</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15238</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278726.2</v>
      </c>
      <c r="D27" s="182">
        <f t="shared" si="0"/>
        <v>2.6</v>
      </c>
    </row>
    <row r="28" spans="1:4" x14ac:dyDescent="0.2">
      <c r="B28" s="187" t="s">
        <v>719</v>
      </c>
      <c r="C28" s="180">
        <f>SUM(C10:C27)</f>
        <v>10849926.199999999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10849926.199999999</v>
      </c>
    </row>
    <row r="31" spans="1:4" x14ac:dyDescent="0.2">
      <c r="B31" s="33"/>
      <c r="C31" s="180"/>
    </row>
    <row r="32" spans="1:4" x14ac:dyDescent="0.2">
      <c r="A32">
        <v>5100</v>
      </c>
      <c r="B32" s="33" t="s">
        <v>726</v>
      </c>
      <c r="C32" s="180">
        <f>ROUND('DOE25'!L261+'DOE25'!L342,0)</f>
        <v>265000</v>
      </c>
    </row>
    <row r="34" spans="1:4" x14ac:dyDescent="0.2">
      <c r="A34" s="187" t="s">
        <v>94</v>
      </c>
      <c r="B34" s="188" t="s">
        <v>1589</v>
      </c>
      <c r="C34" s="181" t="s">
        <v>720</v>
      </c>
      <c r="D34" s="181" t="s">
        <v>721</v>
      </c>
    </row>
    <row r="35" spans="1:4" x14ac:dyDescent="0.2">
      <c r="A35">
        <v>1100</v>
      </c>
      <c r="B35" s="185" t="s">
        <v>727</v>
      </c>
      <c r="C35" s="179">
        <f>ROUND('DOE25'!F60+'DOE25'!G60+'DOE25'!H60+'DOE25'!I60+'DOE25'!J60,0)</f>
        <v>4931113</v>
      </c>
      <c r="D35" s="182">
        <f t="shared" ref="D35:D40" si="1">ROUND((C35/$C$41)*100,1)</f>
        <v>42.9</v>
      </c>
    </row>
    <row r="36" spans="1:4" x14ac:dyDescent="0.2">
      <c r="B36" s="185" t="s">
        <v>739</v>
      </c>
      <c r="C36" s="179">
        <f>SUM('DOE25'!F112:J112)-SUM('DOE25'!G97:G110)+('DOE25'!F175+'DOE25'!F176+'DOE25'!I175+'DOE25'!I176)-C35</f>
        <v>72795.459999999963</v>
      </c>
      <c r="D36" s="182">
        <f t="shared" si="1"/>
        <v>0.6</v>
      </c>
    </row>
    <row r="37" spans="1:4" x14ac:dyDescent="0.2">
      <c r="A37" s="183" t="s">
        <v>835</v>
      </c>
      <c r="B37" s="185" t="s">
        <v>728</v>
      </c>
      <c r="C37" s="179">
        <f>ROUND('DOE25'!F117+'DOE25'!F118,0)</f>
        <v>5122267</v>
      </c>
      <c r="D37" s="182">
        <f t="shared" si="1"/>
        <v>44.6</v>
      </c>
    </row>
    <row r="38" spans="1:4" x14ac:dyDescent="0.2">
      <c r="A38" s="183" t="s">
        <v>734</v>
      </c>
      <c r="B38" s="185" t="s">
        <v>729</v>
      </c>
      <c r="C38" s="179">
        <f>ROUND(SUM('DOE25'!F140:J140)-SUM('DOE25'!F117:F119),0)</f>
        <v>516976</v>
      </c>
      <c r="D38" s="182">
        <f t="shared" si="1"/>
        <v>4.5</v>
      </c>
    </row>
    <row r="39" spans="1:4" x14ac:dyDescent="0.2">
      <c r="A39">
        <v>4000</v>
      </c>
      <c r="B39" s="185" t="s">
        <v>730</v>
      </c>
      <c r="C39" s="179">
        <f>ROUND('DOE25'!F170+'DOE25'!G170+'DOE25'!H170+'DOE25'!I170,0)</f>
        <v>849514</v>
      </c>
      <c r="D39" s="182">
        <f t="shared" si="1"/>
        <v>7.4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11492665.460000001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1" sqref="C11:M11"/>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PITTSFIELD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t="s">
        <v>1646</v>
      </c>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2020-10-02T18:19:01Z</cp:lastPrinted>
  <dcterms:created xsi:type="dcterms:W3CDTF">1997-12-04T19:04:30Z</dcterms:created>
  <dcterms:modified xsi:type="dcterms:W3CDTF">2020-12-11T20:10:15Z</dcterms:modified>
</cp:coreProperties>
</file>