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6000" windowHeight="117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F666" i="1" l="1"/>
  <c r="D7" i="14" l="1"/>
  <c r="D6" i="14"/>
  <c r="D5" i="14"/>
  <c r="F57" i="1"/>
  <c r="F473" i="1"/>
  <c r="E7" i="14"/>
  <c r="E6" i="14"/>
  <c r="E5" i="14"/>
  <c r="F31" i="13"/>
  <c r="F15" i="13"/>
  <c r="F16" i="13"/>
  <c r="C37" i="12"/>
  <c r="C39" i="12"/>
  <c r="B39" i="12"/>
  <c r="B37" i="12"/>
  <c r="C28" i="12"/>
  <c r="C30" i="12"/>
  <c r="B28" i="12"/>
  <c r="C19" i="12"/>
  <c r="C20" i="12"/>
  <c r="C21" i="12"/>
  <c r="B21" i="12"/>
  <c r="B20" i="12"/>
  <c r="B19" i="12"/>
  <c r="C10" i="12"/>
  <c r="C12" i="12"/>
  <c r="B12" i="12"/>
  <c r="B10" i="12"/>
  <c r="K205" i="1"/>
  <c r="K265" i="1"/>
  <c r="K264" i="1"/>
  <c r="H180" i="1"/>
  <c r="G30" i="1"/>
  <c r="G16" i="1"/>
  <c r="G9" i="1"/>
  <c r="B22" i="12"/>
  <c r="B18" i="12"/>
  <c r="C18" i="12"/>
  <c r="C22" i="12"/>
  <c r="A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24"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9" i="1"/>
  <c r="L237" i="1"/>
  <c r="C112" i="2"/>
  <c r="L216" i="1"/>
  <c r="L217" i="1"/>
  <c r="L218" i="1"/>
  <c r="L236" i="1"/>
  <c r="L279" i="1"/>
  <c r="L298" i="1"/>
  <c r="L317" i="1"/>
  <c r="E111" i="2"/>
  <c r="L234" i="1"/>
  <c r="L235" i="1"/>
  <c r="L278" i="1"/>
  <c r="L297" i="1"/>
  <c r="L316" i="1"/>
  <c r="G6" i="13"/>
  <c r="H6" i="13"/>
  <c r="L203" i="1"/>
  <c r="L221" i="1"/>
  <c r="L239" i="1"/>
  <c r="G7" i="13"/>
  <c r="H7" i="13"/>
  <c r="L204" i="1"/>
  <c r="L222" i="1"/>
  <c r="L240" i="1"/>
  <c r="G12" i="13"/>
  <c r="H12" i="13"/>
  <c r="L206" i="1"/>
  <c r="L224" i="1"/>
  <c r="L242" i="1"/>
  <c r="G14" i="13"/>
  <c r="H14" i="13"/>
  <c r="L208" i="1"/>
  <c r="L226" i="1"/>
  <c r="L244" i="1"/>
  <c r="L287" i="1"/>
  <c r="L306" i="1"/>
  <c r="L325" i="1"/>
  <c r="G15" i="13"/>
  <c r="H15" i="13"/>
  <c r="L209" i="1"/>
  <c r="L227" i="1"/>
  <c r="L245" i="1"/>
  <c r="G652" i="1"/>
  <c r="J599" i="1"/>
  <c r="H652" i="1"/>
  <c r="G17" i="13"/>
  <c r="H17" i="13"/>
  <c r="L252" i="1"/>
  <c r="G18" i="13"/>
  <c r="H18" i="13"/>
  <c r="L253" i="1"/>
  <c r="D18" i="13"/>
  <c r="C18" i="13"/>
  <c r="G19" i="13"/>
  <c r="H19" i="13"/>
  <c r="L254" i="1"/>
  <c r="G29" i="13"/>
  <c r="H29" i="13"/>
  <c r="L359" i="1"/>
  <c r="L360" i="1"/>
  <c r="L361" i="1"/>
  <c r="G662" i="1"/>
  <c r="I368" i="1"/>
  <c r="J291" i="1"/>
  <c r="J310" i="1"/>
  <c r="J329" i="1"/>
  <c r="K291" i="1"/>
  <c r="K310" i="1"/>
  <c r="K329" i="1"/>
  <c r="L277" i="1"/>
  <c r="L280" i="1"/>
  <c r="L282" i="1"/>
  <c r="L283" i="1"/>
  <c r="L302" i="1"/>
  <c r="L321" i="1"/>
  <c r="L284" i="1"/>
  <c r="L285" i="1"/>
  <c r="L286" i="1"/>
  <c r="L288" i="1"/>
  <c r="L289" i="1"/>
  <c r="L308" i="1"/>
  <c r="L327" i="1"/>
  <c r="E125" i="2"/>
  <c r="L296" i="1"/>
  <c r="L299" i="1"/>
  <c r="L301" i="1"/>
  <c r="L303" i="1"/>
  <c r="L304" i="1"/>
  <c r="L305" i="1"/>
  <c r="L307" i="1"/>
  <c r="L315" i="1"/>
  <c r="L318" i="1"/>
  <c r="L320" i="1"/>
  <c r="L322" i="1"/>
  <c r="L323" i="1"/>
  <c r="L324" i="1"/>
  <c r="L326" i="1"/>
  <c r="L334" i="1"/>
  <c r="L335" i="1"/>
  <c r="L336" i="1"/>
  <c r="L261" i="1"/>
  <c r="L262" i="1"/>
  <c r="C132" i="2"/>
  <c r="L342" i="1"/>
  <c r="L343" i="1"/>
  <c r="E132" i="2"/>
  <c r="L256" i="1"/>
  <c r="L337" i="1"/>
  <c r="E130" i="2"/>
  <c r="C11" i="13"/>
  <c r="C10" i="13"/>
  <c r="C9" i="13"/>
  <c r="L362" i="1"/>
  <c r="B4" i="12"/>
  <c r="B36" i="12"/>
  <c r="B40" i="12"/>
  <c r="C36" i="12"/>
  <c r="C40" i="12"/>
  <c r="A40" i="12"/>
  <c r="B27" i="12"/>
  <c r="C27" i="12"/>
  <c r="B31" i="12"/>
  <c r="C31" i="12"/>
  <c r="B9" i="12"/>
  <c r="B13" i="12"/>
  <c r="C9" i="12"/>
  <c r="C13" i="12"/>
  <c r="A13" i="12"/>
  <c r="B1" i="12"/>
  <c r="L388" i="1"/>
  <c r="L389" i="1"/>
  <c r="L390" i="1"/>
  <c r="L391" i="1"/>
  <c r="L392" i="1"/>
  <c r="L393" i="1"/>
  <c r="L396" i="1"/>
  <c r="L397" i="1"/>
  <c r="L398" i="1"/>
  <c r="L399" i="1"/>
  <c r="L400" i="1"/>
  <c r="L401" i="1"/>
  <c r="L404" i="1"/>
  <c r="L405" i="1"/>
  <c r="L406" i="1"/>
  <c r="L407" i="1"/>
  <c r="L267" i="1"/>
  <c r="J60" i="1"/>
  <c r="G56" i="2"/>
  <c r="G59" i="2"/>
  <c r="G61" i="2"/>
  <c r="G62" i="2"/>
  <c r="F2" i="11"/>
  <c r="L614" i="1"/>
  <c r="H664" i="1"/>
  <c r="L613" i="1"/>
  <c r="G664" i="1"/>
  <c r="L612" i="1"/>
  <c r="F664" i="1"/>
  <c r="I664" i="1"/>
  <c r="C40" i="10"/>
  <c r="F60" i="1"/>
  <c r="G60" i="1"/>
  <c r="D56" i="2"/>
  <c r="H60" i="1"/>
  <c r="I60" i="1"/>
  <c r="F79" i="1"/>
  <c r="C57" i="2"/>
  <c r="F94" i="1"/>
  <c r="F111" i="1"/>
  <c r="G111" i="1"/>
  <c r="H79" i="1"/>
  <c r="H94" i="1"/>
  <c r="H111" i="1"/>
  <c r="I111" i="1"/>
  <c r="I112" i="1"/>
  <c r="J111" i="1"/>
  <c r="F121" i="1"/>
  <c r="F136" i="1"/>
  <c r="G121" i="1"/>
  <c r="G136" i="1"/>
  <c r="H121" i="1"/>
  <c r="H136" i="1"/>
  <c r="I121" i="1"/>
  <c r="I136" i="1"/>
  <c r="J121" i="1"/>
  <c r="J136" i="1"/>
  <c r="J140" i="1"/>
  <c r="J112" i="1"/>
  <c r="J184" i="1"/>
  <c r="J193" i="1"/>
  <c r="J194" i="1"/>
  <c r="F147" i="1"/>
  <c r="F170" i="1"/>
  <c r="G147" i="1"/>
  <c r="D85" i="2"/>
  <c r="D89" i="2"/>
  <c r="D91" i="2"/>
  <c r="H147" i="1"/>
  <c r="H170" i="1"/>
  <c r="I147" i="1"/>
  <c r="F85" i="2"/>
  <c r="C13" i="10"/>
  <c r="L251" i="1"/>
  <c r="C113" i="2"/>
  <c r="L333" i="1"/>
  <c r="E113" i="2"/>
  <c r="L255" i="1"/>
  <c r="L269" i="1"/>
  <c r="L270" i="1"/>
  <c r="C143" i="2"/>
  <c r="L350" i="1"/>
  <c r="E142" i="2"/>
  <c r="L351" i="1"/>
  <c r="E143" i="2"/>
  <c r="I666" i="1"/>
  <c r="I671" i="1"/>
  <c r="I670" i="1"/>
  <c r="C42" i="10"/>
  <c r="L375" i="1"/>
  <c r="L376" i="1"/>
  <c r="L377" i="1"/>
  <c r="L378" i="1"/>
  <c r="L379" i="1"/>
  <c r="L380" i="1"/>
  <c r="L381" i="1"/>
  <c r="B2" i="10"/>
  <c r="L345" i="1"/>
  <c r="L346" i="1"/>
  <c r="E135" i="2"/>
  <c r="L347" i="1"/>
  <c r="E137" i="2"/>
  <c r="L348" i="1"/>
  <c r="K352" i="1"/>
  <c r="L522" i="1"/>
  <c r="F550" i="1"/>
  <c r="L523" i="1"/>
  <c r="F551" i="1"/>
  <c r="L524" i="1"/>
  <c r="F552" i="1"/>
  <c r="L527" i="1"/>
  <c r="G550" i="1"/>
  <c r="L528" i="1"/>
  <c r="G551" i="1"/>
  <c r="L529" i="1"/>
  <c r="G552" i="1"/>
  <c r="L532" i="1"/>
  <c r="H550" i="1"/>
  <c r="L533" i="1"/>
  <c r="H551" i="1"/>
  <c r="L534" i="1"/>
  <c r="H552" i="1"/>
  <c r="H553" i="1"/>
  <c r="L537" i="1"/>
  <c r="I550" i="1"/>
  <c r="L538" i="1"/>
  <c r="I551" i="1"/>
  <c r="L539" i="1"/>
  <c r="I552" i="1"/>
  <c r="L542" i="1"/>
  <c r="J550" i="1"/>
  <c r="L543" i="1"/>
  <c r="J551" i="1"/>
  <c r="L544" i="1"/>
  <c r="J552" i="1"/>
  <c r="J553" i="1"/>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G21" i="2"/>
  <c r="I451" i="1"/>
  <c r="J24" i="1"/>
  <c r="G23" i="2"/>
  <c r="I452" i="1"/>
  <c r="J31" i="1"/>
  <c r="G30" i="2"/>
  <c r="G31" i="2"/>
  <c r="C23" i="2"/>
  <c r="D23" i="2"/>
  <c r="E23" i="2"/>
  <c r="F23" i="2"/>
  <c r="C24" i="2"/>
  <c r="D24" i="2"/>
  <c r="E24" i="2"/>
  <c r="F24" i="2"/>
  <c r="C25" i="2"/>
  <c r="F25" i="2"/>
  <c r="C26" i="2"/>
  <c r="F26" i="2"/>
  <c r="C27" i="2"/>
  <c r="D27" i="2"/>
  <c r="E27" i="2"/>
  <c r="F27" i="2"/>
  <c r="C28" i="2"/>
  <c r="D28" i="2"/>
  <c r="E28" i="2"/>
  <c r="F28" i="2"/>
  <c r="C29" i="2"/>
  <c r="D29" i="2"/>
  <c r="E29" i="2"/>
  <c r="F29" i="2"/>
  <c r="C30" i="2"/>
  <c r="D30" i="2"/>
  <c r="E30" i="2"/>
  <c r="F30" i="2"/>
  <c r="C34" i="2"/>
  <c r="D34" i="2"/>
  <c r="D35" i="2"/>
  <c r="E34" i="2"/>
  <c r="F34" i="2"/>
  <c r="C35" i="2"/>
  <c r="E35" i="2"/>
  <c r="F35" i="2"/>
  <c r="I455" i="1"/>
  <c r="J49" i="1"/>
  <c r="G48" i="2"/>
  <c r="I457" i="1"/>
  <c r="J43" i="1"/>
  <c r="I458" i="1"/>
  <c r="J37" i="1"/>
  <c r="G36" i="2"/>
  <c r="I460" i="1"/>
  <c r="J48" i="1"/>
  <c r="G47" i="2"/>
  <c r="C49"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E78" i="2"/>
  <c r="E79" i="2"/>
  <c r="E80" i="2"/>
  <c r="E81" i="2"/>
  <c r="F77" i="2"/>
  <c r="G77" i="2"/>
  <c r="G78" i="2"/>
  <c r="C79" i="2"/>
  <c r="D79" i="2"/>
  <c r="C80" i="2"/>
  <c r="C85" i="2"/>
  <c r="E85" i="2"/>
  <c r="C87" i="2"/>
  <c r="E87" i="2"/>
  <c r="F87" i="2"/>
  <c r="C89" i="2"/>
  <c r="E89" i="2"/>
  <c r="F89" i="2"/>
  <c r="C90" i="2"/>
  <c r="C91"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2" i="2"/>
  <c r="D115" i="2"/>
  <c r="F115" i="2"/>
  <c r="G115" i="2"/>
  <c r="C119" i="2"/>
  <c r="E121" i="2"/>
  <c r="E123" i="2"/>
  <c r="C125" i="2"/>
  <c r="F128" i="2"/>
  <c r="G128" i="2"/>
  <c r="C130" i="2"/>
  <c r="D134" i="2"/>
  <c r="D144" i="2"/>
  <c r="E134" i="2"/>
  <c r="F134" i="2"/>
  <c r="K420" i="1"/>
  <c r="K428" i="1"/>
  <c r="K434" i="1"/>
  <c r="L264" i="1"/>
  <c r="C135" i="2"/>
  <c r="L265" i="1"/>
  <c r="C136" i="2"/>
  <c r="L266" i="1"/>
  <c r="C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G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G164" i="2"/>
  <c r="F19" i="1"/>
  <c r="G618" i="1"/>
  <c r="G19" i="1"/>
  <c r="G619" i="1"/>
  <c r="H19" i="1"/>
  <c r="G620" i="1"/>
  <c r="I19" i="1"/>
  <c r="G621" i="1"/>
  <c r="F32" i="1"/>
  <c r="G32" i="1"/>
  <c r="H32" i="1"/>
  <c r="I32" i="1"/>
  <c r="H51" i="1"/>
  <c r="I51" i="1"/>
  <c r="G626" i="1"/>
  <c r="F178" i="1"/>
  <c r="I178" i="1"/>
  <c r="F184" i="1"/>
  <c r="G184" i="1"/>
  <c r="H184" i="1"/>
  <c r="I184" i="1"/>
  <c r="F189" i="1"/>
  <c r="G189" i="1"/>
  <c r="H189" i="1"/>
  <c r="I189" i="1"/>
  <c r="F212" i="1"/>
  <c r="G212" i="1"/>
  <c r="H212" i="1"/>
  <c r="I212" i="1"/>
  <c r="J212" i="1"/>
  <c r="K212" i="1"/>
  <c r="K230" i="1"/>
  <c r="K248" i="1"/>
  <c r="K257" i="1"/>
  <c r="K258" i="1"/>
  <c r="F230" i="1"/>
  <c r="G230" i="1"/>
  <c r="H230" i="1"/>
  <c r="I230" i="1"/>
  <c r="J230" i="1"/>
  <c r="F248" i="1"/>
  <c r="G248" i="1"/>
  <c r="H248" i="1"/>
  <c r="I248" i="1"/>
  <c r="J248" i="1"/>
  <c r="F257" i="1"/>
  <c r="G257" i="1"/>
  <c r="H257" i="1"/>
  <c r="I257" i="1"/>
  <c r="J257" i="1"/>
  <c r="F258" i="1"/>
  <c r="F291" i="1"/>
  <c r="G291" i="1"/>
  <c r="H291" i="1"/>
  <c r="I291" i="1"/>
  <c r="F310" i="1"/>
  <c r="G310" i="1"/>
  <c r="H310" i="1"/>
  <c r="I310" i="1"/>
  <c r="F329" i="1"/>
  <c r="G329" i="1"/>
  <c r="G338" i="1"/>
  <c r="H329" i="1"/>
  <c r="I329" i="1"/>
  <c r="F338" i="1"/>
  <c r="H338" i="1"/>
  <c r="I338" i="1"/>
  <c r="J338" i="1"/>
  <c r="K338" i="1"/>
  <c r="F363" i="1"/>
  <c r="G363" i="1"/>
  <c r="H363" i="1"/>
  <c r="I363" i="1"/>
  <c r="G635" i="1"/>
  <c r="J363" i="1"/>
  <c r="K363" i="1"/>
  <c r="I369" i="1"/>
  <c r="F370" i="1"/>
  <c r="G370" i="1"/>
  <c r="H370" i="1"/>
  <c r="L382" i="1"/>
  <c r="F383" i="1"/>
  <c r="G383" i="1"/>
  <c r="H383" i="1"/>
  <c r="I383" i="1"/>
  <c r="J383" i="1"/>
  <c r="K383" i="1"/>
  <c r="F394" i="1"/>
  <c r="G394" i="1"/>
  <c r="H394" i="1"/>
  <c r="I394" i="1"/>
  <c r="F402" i="1"/>
  <c r="F408" i="1"/>
  <c r="G402" i="1"/>
  <c r="H402" i="1"/>
  <c r="I402" i="1"/>
  <c r="I408" i="1"/>
  <c r="I409" i="1"/>
  <c r="G408" i="1"/>
  <c r="H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G477" i="1"/>
  <c r="H475" i="1"/>
  <c r="I475" i="1"/>
  <c r="J475" i="1"/>
  <c r="K496" i="1"/>
  <c r="K497" i="1"/>
  <c r="K498" i="1"/>
  <c r="K499" i="1"/>
  <c r="K500" i="1"/>
  <c r="K502" i="1"/>
  <c r="K503" i="1"/>
  <c r="F518" i="1"/>
  <c r="G518" i="1"/>
  <c r="H518" i="1"/>
  <c r="I518" i="1"/>
  <c r="F525" i="1"/>
  <c r="G525" i="1"/>
  <c r="H525" i="1"/>
  <c r="I525" i="1"/>
  <c r="J525" i="1"/>
  <c r="J530" i="1"/>
  <c r="J535" i="1"/>
  <c r="J540" i="1"/>
  <c r="J545" i="1"/>
  <c r="J546" i="1"/>
  <c r="K525" i="1"/>
  <c r="F530" i="1"/>
  <c r="G530" i="1"/>
  <c r="H530" i="1"/>
  <c r="I530" i="1"/>
  <c r="K530" i="1"/>
  <c r="F535" i="1"/>
  <c r="G535" i="1"/>
  <c r="H535" i="1"/>
  <c r="I535" i="1"/>
  <c r="K535" i="1"/>
  <c r="F540" i="1"/>
  <c r="G540" i="1"/>
  <c r="H540" i="1"/>
  <c r="I540" i="1"/>
  <c r="K540" i="1"/>
  <c r="F545" i="1"/>
  <c r="G545" i="1"/>
  <c r="H545" i="1"/>
  <c r="I545" i="1"/>
  <c r="K545" i="1"/>
  <c r="L558" i="1"/>
  <c r="L559" i="1"/>
  <c r="L560" i="1"/>
  <c r="F561" i="1"/>
  <c r="G561" i="1"/>
  <c r="H561" i="1"/>
  <c r="I561" i="1"/>
  <c r="J561" i="1"/>
  <c r="K561" i="1"/>
  <c r="L563" i="1"/>
  <c r="L564" i="1"/>
  <c r="L565" i="1"/>
  <c r="F566" i="1"/>
  <c r="G566" i="1"/>
  <c r="H566" i="1"/>
  <c r="H571" i="1"/>
  <c r="H572" i="1"/>
  <c r="I566" i="1"/>
  <c r="J566" i="1"/>
  <c r="K566" i="1"/>
  <c r="L568" i="1"/>
  <c r="L569" i="1"/>
  <c r="L570" i="1"/>
  <c r="L571" i="1"/>
  <c r="F571" i="1"/>
  <c r="G571" i="1"/>
  <c r="I571" i="1"/>
  <c r="J571" i="1"/>
  <c r="K571" i="1"/>
  <c r="I576" i="1"/>
  <c r="I577" i="1"/>
  <c r="I578" i="1"/>
  <c r="I579" i="1"/>
  <c r="I580" i="1"/>
  <c r="I581" i="1"/>
  <c r="I582" i="1"/>
  <c r="I583" i="1"/>
  <c r="I584" i="1"/>
  <c r="I585" i="1"/>
  <c r="I586" i="1"/>
  <c r="I587" i="1"/>
  <c r="I588" i="1"/>
  <c r="K592" i="1"/>
  <c r="K593" i="1"/>
  <c r="K594" i="1"/>
  <c r="K595" i="1"/>
  <c r="K596" i="1"/>
  <c r="K597" i="1"/>
  <c r="K598" i="1"/>
  <c r="K599" i="1"/>
  <c r="G648" i="1"/>
  <c r="H599" i="1"/>
  <c r="H650" i="1"/>
  <c r="I599" i="1"/>
  <c r="H651" i="1"/>
  <c r="K603" i="1"/>
  <c r="K604" i="1"/>
  <c r="K605" i="1"/>
  <c r="K606" i="1"/>
  <c r="G649" i="1"/>
  <c r="H606" i="1"/>
  <c r="I606" i="1"/>
  <c r="J606" i="1"/>
  <c r="F615" i="1"/>
  <c r="G615" i="1"/>
  <c r="H615" i="1"/>
  <c r="I615" i="1"/>
  <c r="J615" i="1"/>
  <c r="K615" i="1"/>
  <c r="G623" i="1"/>
  <c r="G624" i="1"/>
  <c r="G625" i="1"/>
  <c r="H628" i="1"/>
  <c r="H629" i="1"/>
  <c r="H630" i="1"/>
  <c r="H631" i="1"/>
  <c r="H632" i="1"/>
  <c r="H633" i="1"/>
  <c r="H634" i="1"/>
  <c r="H636" i="1"/>
  <c r="H637" i="1"/>
  <c r="H638" i="1"/>
  <c r="H639" i="1"/>
  <c r="G641" i="1"/>
  <c r="G462" i="1"/>
  <c r="H641" i="1"/>
  <c r="J641" i="1"/>
  <c r="G644" i="1"/>
  <c r="G645" i="1"/>
  <c r="G646" i="1"/>
  <c r="G409" i="1"/>
  <c r="H646" i="1"/>
  <c r="J646" i="1"/>
  <c r="G653" i="1"/>
  <c r="H653" i="1"/>
  <c r="G654" i="1"/>
  <c r="H654" i="1"/>
  <c r="G655" i="1"/>
  <c r="H655" i="1"/>
  <c r="H656" i="1"/>
  <c r="J656" i="1"/>
  <c r="J258" i="1"/>
  <c r="I370" i="1"/>
  <c r="H635" i="1"/>
  <c r="I170" i="1"/>
  <c r="K339" i="1"/>
  <c r="K353" i="1"/>
  <c r="H663" i="1"/>
  <c r="C121" i="2"/>
  <c r="D6" i="13"/>
  <c r="C6" i="13"/>
  <c r="E13" i="13"/>
  <c r="C13" i="13"/>
  <c r="C110" i="2"/>
  <c r="E131" i="2"/>
  <c r="G553" i="1"/>
  <c r="H112" i="1"/>
  <c r="L402" i="1"/>
  <c r="C139" i="2"/>
  <c r="E114" i="2"/>
  <c r="D15" i="13"/>
  <c r="C15" i="13"/>
  <c r="C120" i="2"/>
  <c r="F339" i="1"/>
  <c r="F353" i="1"/>
  <c r="L561" i="1"/>
  <c r="E103" i="2"/>
  <c r="D18" i="2"/>
  <c r="L310" i="1"/>
  <c r="I546" i="1"/>
  <c r="F462" i="1"/>
  <c r="H640" i="1"/>
  <c r="J640" i="1"/>
  <c r="H258" i="1"/>
  <c r="H272" i="1"/>
  <c r="D31" i="2"/>
  <c r="E31" i="2"/>
  <c r="C18" i="2"/>
  <c r="F18" i="2"/>
  <c r="L271" i="1"/>
  <c r="F662" i="1"/>
  <c r="F572" i="1"/>
  <c r="L420" i="1"/>
  <c r="D81" i="2"/>
  <c r="D62" i="2"/>
  <c r="D63" i="2"/>
  <c r="D103" i="2"/>
  <c r="D104" i="2"/>
  <c r="F112" i="1"/>
  <c r="L394" i="1"/>
  <c r="C138" i="2"/>
  <c r="L363" i="1"/>
  <c r="B17" i="16"/>
  <c r="B19" i="16"/>
  <c r="G112" i="1"/>
  <c r="B10" i="16"/>
  <c r="G140" i="1"/>
  <c r="B11" i="16"/>
  <c r="G170" i="1"/>
  <c r="B12" i="16"/>
  <c r="G193" i="1"/>
  <c r="B13" i="16"/>
  <c r="B14" i="16"/>
  <c r="B22" i="16"/>
  <c r="B28" i="16"/>
  <c r="L329" i="1"/>
  <c r="E122" i="2"/>
  <c r="L291" i="1"/>
  <c r="H624" i="1"/>
  <c r="J624" i="1"/>
  <c r="B33" i="16"/>
  <c r="L615" i="1"/>
  <c r="K572" i="1"/>
  <c r="L566" i="1"/>
  <c r="I572" i="1"/>
  <c r="K546" i="1"/>
  <c r="H52" i="1"/>
  <c r="H620" i="1"/>
  <c r="J620" i="1"/>
  <c r="C114" i="2"/>
  <c r="C109" i="2"/>
  <c r="C111" i="2"/>
  <c r="C115" i="2"/>
  <c r="E118" i="2"/>
  <c r="L248" i="1"/>
  <c r="L212" i="1"/>
  <c r="H648" i="1"/>
  <c r="J635" i="1"/>
  <c r="L530" i="1"/>
  <c r="G161" i="2"/>
  <c r="G157" i="2"/>
  <c r="G81" i="2"/>
  <c r="C78" i="2"/>
  <c r="F78" i="2"/>
  <c r="F81" i="2"/>
  <c r="C70" i="2"/>
  <c r="E57" i="2"/>
  <c r="E62" i="2"/>
  <c r="E63" i="2"/>
  <c r="C26" i="10"/>
  <c r="C18" i="10"/>
  <c r="I477" i="1"/>
  <c r="H626" i="1"/>
  <c r="J477" i="1"/>
  <c r="H627" i="1"/>
  <c r="F477" i="1"/>
  <c r="H623" i="1"/>
  <c r="J623" i="1"/>
  <c r="L434" i="1"/>
  <c r="L428" i="1"/>
  <c r="I258" i="1"/>
  <c r="I272" i="1"/>
  <c r="K272" i="1"/>
  <c r="F193" i="1"/>
  <c r="L352" i="1"/>
  <c r="F130" i="2"/>
  <c r="F144" i="2" s="1"/>
  <c r="F145" i="2" s="1"/>
  <c r="I25" i="13"/>
  <c r="J272" i="1"/>
  <c r="K501" i="1"/>
  <c r="I461" i="1"/>
  <c r="I453" i="1"/>
  <c r="I447" i="1"/>
  <c r="G643" i="1"/>
  <c r="I462" i="1"/>
  <c r="H643" i="1"/>
  <c r="J643" i="1"/>
  <c r="H339" i="1"/>
  <c r="H353" i="1"/>
  <c r="F272" i="1"/>
  <c r="C123" i="2"/>
  <c r="E109" i="2"/>
  <c r="E115" i="2"/>
  <c r="C56" i="2"/>
  <c r="F663" i="1"/>
  <c r="C25" i="10"/>
  <c r="C21" i="10"/>
  <c r="C17" i="10"/>
  <c r="D19" i="13"/>
  <c r="C19" i="13"/>
  <c r="D14" i="13"/>
  <c r="C14" i="13"/>
  <c r="C62" i="2"/>
  <c r="G22" i="13"/>
  <c r="L540" i="1"/>
  <c r="K504" i="1"/>
  <c r="L383" i="1"/>
  <c r="G637" i="1"/>
  <c r="J637" i="1"/>
  <c r="G258" i="1"/>
  <c r="G272" i="1"/>
  <c r="C142" i="2"/>
  <c r="H662" i="1"/>
  <c r="C15" i="10"/>
  <c r="D29" i="13"/>
  <c r="C29" i="13"/>
  <c r="D12" i="13"/>
  <c r="D5" i="13"/>
  <c r="C5" i="13"/>
  <c r="E8" i="13"/>
  <c r="C8" i="13"/>
  <c r="C12" i="13"/>
  <c r="C35" i="10"/>
  <c r="C29" i="10"/>
  <c r="G650" i="1"/>
  <c r="J650" i="1"/>
  <c r="L525" i="1"/>
  <c r="J339" i="1"/>
  <c r="J353" i="1"/>
  <c r="D127" i="2"/>
  <c r="D128" i="2"/>
  <c r="D145" i="2"/>
  <c r="C124" i="2"/>
  <c r="C122" i="2"/>
  <c r="C118" i="2"/>
  <c r="C128" i="2"/>
  <c r="C19" i="10"/>
  <c r="C16" i="10"/>
  <c r="D17" i="13"/>
  <c r="C17" i="13"/>
  <c r="D7" i="13"/>
  <c r="C7" i="13"/>
  <c r="E16" i="13"/>
  <c r="C16" i="13"/>
  <c r="C10" i="10"/>
  <c r="L230" i="1"/>
  <c r="G24" i="14"/>
  <c r="H24" i="14"/>
  <c r="I24" i="14"/>
  <c r="L338" i="1"/>
  <c r="F62" i="2"/>
  <c r="F63" i="2"/>
  <c r="C23" i="10"/>
  <c r="G163" i="2"/>
  <c r="G162" i="2"/>
  <c r="G160" i="2"/>
  <c r="G159" i="2"/>
  <c r="G158" i="2"/>
  <c r="G103" i="2"/>
  <c r="F103" i="2"/>
  <c r="C103" i="2"/>
  <c r="F91" i="2"/>
  <c r="E50" i="2"/>
  <c r="E51" i="2"/>
  <c r="C50" i="2"/>
  <c r="F31" i="2"/>
  <c r="F50" i="2"/>
  <c r="F51" i="2"/>
  <c r="C31" i="2"/>
  <c r="E18" i="2"/>
  <c r="E144" i="2"/>
  <c r="C24" i="10"/>
  <c r="H31" i="13"/>
  <c r="H33" i="13"/>
  <c r="I339" i="1"/>
  <c r="I353" i="1"/>
  <c r="L408" i="1"/>
  <c r="C140" i="2"/>
  <c r="I193" i="1"/>
  <c r="E91" i="2"/>
  <c r="J655" i="1"/>
  <c r="J654" i="1"/>
  <c r="J32" i="1"/>
  <c r="J435" i="1"/>
  <c r="F435" i="1"/>
  <c r="K435" i="1"/>
  <c r="G134" i="2"/>
  <c r="G144" i="2"/>
  <c r="G145" i="2"/>
  <c r="G31" i="13"/>
  <c r="G647" i="1"/>
  <c r="F140" i="1"/>
  <c r="G63" i="2"/>
  <c r="G42" i="2"/>
  <c r="J51" i="1"/>
  <c r="G16" i="2"/>
  <c r="G18" i="2"/>
  <c r="J19" i="1"/>
  <c r="G622" i="1"/>
  <c r="F546" i="1"/>
  <c r="H435" i="1"/>
  <c r="I140" i="1"/>
  <c r="I194" i="1"/>
  <c r="G631" i="1"/>
  <c r="J631" i="1"/>
  <c r="H649" i="1"/>
  <c r="J653" i="1"/>
  <c r="G572" i="1"/>
  <c r="I435" i="1"/>
  <c r="G435" i="1"/>
  <c r="F194" i="1"/>
  <c r="G628" i="1"/>
  <c r="J628" i="1"/>
  <c r="E104" i="2"/>
  <c r="C36" i="10"/>
  <c r="L435" i="1"/>
  <c r="G639" i="1"/>
  <c r="J639" i="1"/>
  <c r="I662" i="1"/>
  <c r="G104" i="2"/>
  <c r="L339" i="1"/>
  <c r="L353" i="1"/>
  <c r="G634" i="1"/>
  <c r="J634" i="1"/>
  <c r="G636" i="1"/>
  <c r="J636" i="1"/>
  <c r="C27" i="10"/>
  <c r="J626" i="1"/>
  <c r="F104" i="2"/>
  <c r="E33" i="13"/>
  <c r="D35" i="13"/>
  <c r="J648" i="1"/>
  <c r="C63" i="2"/>
  <c r="C39" i="10"/>
  <c r="C25" i="13"/>
  <c r="I33" i="13"/>
  <c r="C51" i="2"/>
  <c r="G632" i="1"/>
  <c r="J632" i="1"/>
  <c r="G194" i="1"/>
  <c r="G629" i="1"/>
  <c r="J629" i="1"/>
  <c r="G627" i="1"/>
  <c r="J627" i="1"/>
  <c r="J52" i="1"/>
  <c r="H622" i="1"/>
  <c r="J622" i="1"/>
  <c r="L572" i="1"/>
  <c r="J572" i="1"/>
  <c r="A31" i="12"/>
  <c r="G546" i="1"/>
  <c r="L535" i="1"/>
  <c r="I553" i="1"/>
  <c r="K552" i="1"/>
  <c r="L545" i="1"/>
  <c r="L546" i="1"/>
  <c r="K551" i="1"/>
  <c r="H546" i="1"/>
  <c r="K550" i="1"/>
  <c r="F553" i="1"/>
  <c r="C141" i="2"/>
  <c r="C144" i="2"/>
  <c r="C145" i="2"/>
  <c r="G661" i="1"/>
  <c r="L409" i="1"/>
  <c r="C81" i="2"/>
  <c r="C104" i="2"/>
  <c r="C22" i="13"/>
  <c r="G33" i="13"/>
  <c r="G36" i="14"/>
  <c r="D31" i="13"/>
  <c r="H661" i="1"/>
  <c r="H665" i="1"/>
  <c r="G50" i="2"/>
  <c r="G51" i="2"/>
  <c r="G4" i="14"/>
  <c r="H4" i="14"/>
  <c r="I4" i="14"/>
  <c r="F661" i="1"/>
  <c r="J649" i="1"/>
  <c r="I52" i="1"/>
  <c r="H621" i="1"/>
  <c r="J621" i="1"/>
  <c r="H409" i="1"/>
  <c r="H645" i="1"/>
  <c r="J645" i="1"/>
  <c r="L257" i="1"/>
  <c r="L258" i="1"/>
  <c r="L272" i="1"/>
  <c r="G633" i="1"/>
  <c r="J633" i="1"/>
  <c r="H193" i="1"/>
  <c r="J652" i="1"/>
  <c r="C20" i="10"/>
  <c r="C11" i="10"/>
  <c r="H477" i="1"/>
  <c r="H625" i="1"/>
  <c r="J625" i="1"/>
  <c r="H462" i="1"/>
  <c r="H642" i="1"/>
  <c r="J642" i="1"/>
  <c r="F409" i="1"/>
  <c r="H644" i="1"/>
  <c r="J644" i="1"/>
  <c r="D50" i="2"/>
  <c r="D51" i="2"/>
  <c r="H140" i="1"/>
  <c r="C32" i="10"/>
  <c r="E119" i="2"/>
  <c r="G663" i="1"/>
  <c r="I663" i="1"/>
  <c r="G651" i="1"/>
  <c r="J651" i="1"/>
  <c r="C12" i="10"/>
  <c r="F52" i="1"/>
  <c r="H618" i="1"/>
  <c r="J618" i="1"/>
  <c r="F36" i="14"/>
  <c r="H36" i="14"/>
  <c r="I36" i="14"/>
  <c r="G339" i="1"/>
  <c r="G353" i="1"/>
  <c r="E124" i="2"/>
  <c r="E120" i="2"/>
  <c r="G52" i="1"/>
  <c r="H619" i="1"/>
  <c r="J619" i="1"/>
  <c r="K553" i="1"/>
  <c r="H194" i="1"/>
  <c r="G630" i="1"/>
  <c r="C38" i="10"/>
  <c r="C28" i="10"/>
  <c r="D20" i="10"/>
  <c r="F665" i="1"/>
  <c r="I661" i="1"/>
  <c r="I665" i="1"/>
  <c r="H668" i="1"/>
  <c r="H673" i="1"/>
  <c r="C6" i="10" s="1"/>
  <c r="E128" i="2"/>
  <c r="E145" i="2"/>
  <c r="C31" i="13"/>
  <c r="D33" i="13"/>
  <c r="D36" i="13"/>
  <c r="G638" i="1"/>
  <c r="J638" i="1"/>
  <c r="H647" i="1"/>
  <c r="J647" i="1"/>
  <c r="D11" i="10"/>
  <c r="G665" i="1"/>
  <c r="D23" i="10"/>
  <c r="D27" i="10"/>
  <c r="D19" i="10"/>
  <c r="C30" i="10"/>
  <c r="D22" i="10"/>
  <c r="D13" i="10"/>
  <c r="D10" i="10"/>
  <c r="D25" i="10"/>
  <c r="D18" i="10"/>
  <c r="D21" i="10"/>
  <c r="D17" i="10"/>
  <c r="D26" i="10"/>
  <c r="D24" i="10"/>
  <c r="D16" i="10"/>
  <c r="D15" i="10"/>
  <c r="D12" i="10"/>
  <c r="I673" i="1"/>
  <c r="C7" i="10"/>
  <c r="I668" i="1"/>
  <c r="C41" i="10"/>
  <c r="G668" i="1"/>
  <c r="G673" i="1"/>
  <c r="C5" i="10"/>
  <c r="F673" i="1"/>
  <c r="C4" i="10" s="1"/>
  <c r="F668" i="1"/>
  <c r="J630" i="1"/>
  <c r="H657" i="1"/>
  <c r="D37" i="10"/>
  <c r="D40" i="10"/>
  <c r="D36" i="10"/>
  <c r="D39" i="10"/>
  <c r="D35" i="10"/>
  <c r="D38" i="10"/>
  <c r="D28"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<sst xmlns="http://schemas.openxmlformats.org/spreadsheetml/2006/main" count="5548" uniqueCount="1643">
  <si>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</si>
  <si>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</si>
  <si>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</si>
  <si>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</si>
  <si>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</si>
  <si>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</si>
  <si>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</si>
  <si>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</si>
  <si>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</si>
  <si>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</si>
  <si>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</si>
  <si>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</si>
  <si>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</si>
  <si>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</si>
  <si>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</si>
  <si>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</si>
  <si>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</si>
  <si>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</si>
  <si>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</si>
  <si>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</si>
  <si>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</si>
  <si>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</si>
  <si>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</si>
  <si>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</si>
  <si>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</si>
  <si>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</si>
  <si>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</si>
  <si>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</si>
  <si>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</si>
  <si>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</si>
  <si>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</si>
  <si>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</si>
  <si>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</si>
  <si>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</si>
  <si>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</si>
  <si>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</si>
  <si>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</si>
  <si>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</si>
  <si>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</si>
  <si>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</si>
  <si>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</si>
  <si>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</si>
  <si>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</si>
  <si>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</si>
  <si>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</si>
  <si>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</si>
  <si>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</si>
  <si>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</si>
  <si>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</si>
  <si>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</si>
  <si>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</si>
  <si>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</si>
  <si>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</si>
  <si>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</si>
  <si>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</si>
  <si>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</si>
  <si>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</si>
  <si>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</si>
  <si>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</si>
  <si>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</si>
  <si>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</si>
  <si>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</si>
  <si>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</si>
  <si>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</si>
  <si>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</si>
  <si>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</si>
  <si>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</si>
  <si>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</si>
  <si>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</si>
  <si>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</si>
  <si>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</si>
  <si>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</si>
  <si>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</si>
  <si>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</si>
  <si>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</si>
  <si>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</si>
  <si>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</si>
  <si>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</si>
  <si>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</si>
  <si>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</si>
  <si>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</si>
  <si>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</si>
  <si>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</si>
  <si>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</si>
  <si>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</si>
  <si>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</si>
  <si>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</si>
  <si>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</si>
  <si>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</si>
  <si>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</si>
  <si>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</si>
  <si>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</si>
  <si>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</si>
  <si>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</si>
  <si>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</si>
  <si>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</si>
  <si>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</si>
  <si>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</si>
  <si>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</si>
  <si>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</si>
  <si>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</si>
  <si>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</si>
  <si>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</si>
  <si>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</si>
  <si>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</si>
  <si>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</si>
  <si>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</si>
  <si>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</si>
  <si>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</si>
  <si>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</si>
  <si>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</si>
  <si>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</si>
  <si>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</si>
  <si>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</si>
  <si>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</si>
  <si>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</si>
  <si>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</si>
  <si>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</si>
  <si>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</si>
  <si>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</si>
  <si>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</si>
  <si>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</si>
  <si>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</si>
  <si>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</si>
  <si>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</si>
  <si>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</si>
  <si>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</si>
  <si>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</si>
  <si>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</si>
  <si>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</si>
  <si>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</si>
  <si>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</si>
  <si>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</si>
  <si>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</si>
  <si>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</si>
  <si>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</si>
  <si>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</si>
  <si>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</si>
  <si>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</si>
  <si>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</si>
  <si>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</si>
  <si>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</si>
  <si>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</si>
  <si>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</si>
  <si>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</si>
  <si>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</si>
  <si>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</si>
  <si>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</si>
  <si>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</si>
  <si>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</si>
  <si>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</si>
  <si>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</si>
  <si>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</si>
  <si>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</si>
  <si>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</si>
  <si>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</si>
  <si>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</si>
  <si>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</si>
  <si>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</si>
  <si>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</si>
  <si>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</si>
  <si>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</si>
  <si>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</si>
  <si>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</si>
  <si>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</si>
  <si>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</si>
  <si>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</si>
  <si>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</si>
  <si>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</si>
  <si>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</si>
  <si>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</si>
  <si>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</si>
  <si>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</si>
  <si>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</si>
  <si>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</si>
  <si>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</si>
  <si>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</si>
  <si>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</si>
  <si>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</si>
  <si>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</si>
  <si>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</si>
  <si>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</si>
  <si>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</si>
  <si>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</si>
  <si>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</si>
  <si>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</si>
  <si>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</si>
  <si>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</si>
  <si>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</si>
  <si>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</si>
  <si>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</si>
  <si>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</si>
  <si>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</si>
  <si>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</si>
  <si>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</si>
  <si>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</si>
  <si>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</si>
  <si>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</si>
  <si>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</si>
  <si>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</si>
  <si>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</si>
  <si>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</si>
  <si>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</si>
  <si>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</si>
  <si>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</si>
  <si>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</si>
  <si>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</si>
  <si>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</si>
  <si>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</si>
  <si>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</si>
  <si>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</si>
  <si>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</si>
  <si>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</si>
  <si>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</si>
  <si>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</si>
  <si>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</si>
  <si>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</si>
  <si>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</si>
  <si>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</si>
  <si>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</si>
  <si>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</si>
  <si>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</si>
  <si>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</si>
  <si>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</si>
  <si>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</si>
  <si>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</si>
  <si>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</si>
  <si>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</si>
  <si>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</si>
  <si>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</si>
  <si>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</si>
  <si>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</si>
  <si>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</si>
  <si>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</si>
  <si>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</si>
  <si>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</si>
  <si>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</si>
  <si>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</si>
  <si>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</si>
  <si>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</si>
  <si>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</si>
  <si>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</si>
  <si>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</si>
  <si>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</si>
  <si>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</si>
  <si>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</si>
  <si>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</si>
  <si>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</si>
  <si>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</si>
  <si>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</si>
  <si>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</si>
  <si>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</si>
  <si>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</si>
  <si>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</si>
  <si>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</si>
  <si>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</si>
  <si>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</si>
  <si>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</si>
  <si>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</si>
  <si>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</si>
  <si>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</si>
  <si>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</si>
  <si>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</si>
  <si>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</si>
  <si>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</si>
  <si>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</si>
  <si>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</si>
  <si>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</si>
  <si>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</si>
  <si>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</si>
  <si>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</si>
  <si>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</si>
  <si>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</si>
  <si>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</si>
  <si>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</si>
  <si>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</si>
  <si>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</si>
  <si>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</si>
  <si>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</si>
  <si>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</si>
  <si>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</si>
  <si>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</si>
  <si>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</si>
  <si>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</si>
  <si>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</si>
  <si>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</si>
  <si>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</si>
  <si>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</si>
  <si>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</si>
  <si>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</si>
  <si>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</si>
  <si>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</si>
  <si>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</si>
  <si>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</si>
  <si>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</si>
  <si>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</si>
  <si>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</si>
  <si>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</si>
  <si>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</si>
  <si>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</si>
  <si>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</si>
  <si>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</si>
  <si>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</si>
  <si>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</si>
  <si>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</si>
  <si>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</si>
  <si>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</si>
  <si>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</si>
  <si>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</si>
  <si>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</si>
  <si>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</si>
  <si>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</si>
  <si>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</si>
  <si>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</si>
  <si>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</si>
  <si>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</si>
  <si>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</si>
  <si>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</si>
  <si>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</si>
  <si>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</si>
  <si>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</si>
  <si>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</si>
  <si>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</si>
  <si>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</si>
  <si>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</si>
  <si>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</si>
  <si>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</si>
  <si>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</si>
  <si>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</si>
  <si>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</si>
  <si>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</si>
  <si>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</si>
  <si>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</si>
  <si>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</si>
  <si>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</si>
  <si>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</si>
  <si>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</si>
  <si>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</si>
  <si>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</si>
  <si>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</si>
  <si>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</si>
  <si>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</si>
  <si>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</si>
  <si>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</si>
  <si>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</si>
  <si>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</si>
  <si>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</si>
  <si>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</si>
  <si>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</si>
  <si>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</si>
  <si>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</si>
  <si>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</si>
  <si>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</si>
  <si>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</si>
  <si>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</si>
  <si>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</si>
  <si>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</si>
  <si>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</si>
  <si>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</si>
  <si>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</si>
  <si>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</si>
  <si>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</si>
  <si>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</si>
  <si>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</si>
  <si>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</si>
  <si>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</si>
  <si>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</si>
  <si>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</si>
  <si>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</si>
  <si>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</si>
  <si>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</si>
  <si>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</si>
  <si>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</si>
  <si>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</si>
  <si>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</si>
  <si>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</si>
  <si>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</si>
  <si>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</si>
  <si>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</si>
  <si>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</si>
  <si>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</si>
  <si>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</si>
  <si>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</si>
  <si>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</si>
  <si>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</si>
  <si>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</si>
  <si>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</si>
  <si>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</si>
  <si>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</si>
  <si>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</si>
  <si>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</si>
  <si>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</si>
  <si>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</si>
  <si>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</si>
  <si>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</si>
  <si>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</si>
  <si>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</si>
  <si>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</si>
  <si>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</si>
  <si>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</si>
  <si>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</si>
  <si>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</si>
  <si>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</si>
  <si>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</si>
  <si>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</si>
  <si>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</si>
  <si>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</si>
  <si>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</si>
  <si>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</si>
  <si>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</si>
  <si>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</si>
  <si>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</si>
  <si>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</si>
  <si>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</si>
  <si>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</si>
  <si>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</si>
  <si>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</si>
  <si>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</si>
  <si>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</si>
  <si>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</si>
  <si>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</si>
  <si>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</si>
  <si>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</si>
  <si>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</si>
  <si>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</si>
  <si>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</si>
  <si>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</si>
  <si>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</si>
  <si>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</si>
  <si>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</si>
  <si>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</si>
  <si>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</si>
  <si>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</si>
  <si>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</si>
  <si>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</si>
  <si>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</si>
  <si>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</si>
  <si>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</si>
  <si>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</si>
  <si>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</si>
  <si>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</si>
  <si>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</si>
  <si>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</si>
  <si>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</si>
  <si>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</si>
  <si>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</si>
  <si>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</si>
  <si>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</si>
  <si>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</si>
  <si>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</si>
  <si>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</si>
  <si>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</si>
  <si>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</si>
  <si>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</si>
  <si>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</si>
  <si>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</si>
  <si>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</si>
  <si>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</si>
  <si>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</si>
  <si>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</si>
  <si>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</si>
  <si>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</si>
  <si>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</si>
  <si>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</si>
  <si>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</si>
  <si>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</si>
  <si>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</si>
  <si>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</si>
  <si>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</si>
  <si>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</si>
  <si>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</si>
  <si>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</si>
  <si>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</si>
  <si>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</si>
  <si>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</si>
  <si>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</si>
  <si>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</si>
  <si>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</si>
  <si>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</si>
  <si>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</si>
  <si>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</si>
  <si>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</si>
  <si>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</si>
  <si>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</si>
  <si>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</si>
  <si>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</si>
  <si>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</si>
  <si>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</si>
  <si>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</si>
  <si>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</si>
  <si>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</si>
  <si>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</si>
  <si>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</si>
  <si>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</si>
  <si>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</si>
  <si>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</si>
  <si>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</si>
  <si>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</si>
  <si>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</si>
  <si>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</si>
  <si>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</si>
  <si>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</si>
  <si>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</si>
  <si>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</si>
  <si>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</si>
  <si>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</si>
  <si>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</si>
  <si>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</si>
  <si>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</si>
  <si>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</si>
  <si>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</si>
  <si>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</si>
  <si>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</si>
  <si>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</si>
  <si>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</si>
  <si>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</si>
  <si>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</si>
  <si>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</si>
  <si>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</si>
  <si>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</si>
  <si>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</si>
  <si>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</si>
  <si>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</si>
  <si>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</si>
  <si>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</si>
  <si>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</si>
  <si>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</si>
  <si>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</si>
  <si>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</si>
  <si>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</si>
  <si>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</si>
  <si>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</si>
  <si>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</si>
  <si>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</si>
  <si>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</si>
  <si>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</si>
  <si>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</si>
  <si>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</si>
  <si>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</si>
  <si>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</si>
  <si>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</si>
  <si>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</si>
  <si>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</si>
  <si>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</si>
  <si>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</si>
  <si>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</si>
  <si>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</si>
  <si>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</si>
  <si>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</si>
  <si>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</si>
  <si>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</si>
  <si>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</si>
  <si>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</si>
  <si>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</si>
  <si>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</si>
  <si>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</si>
  <si>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</si>
  <si>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</si>
  <si>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</si>
  <si>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</si>
  <si>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</si>
  <si>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</si>
  <si>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</si>
  <si>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</si>
  <si>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</si>
  <si>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</si>
  <si>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</si>
  <si>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</si>
  <si>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</si>
  <si>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</si>
  <si>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</si>
  <si>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</si>
  <si>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</si>
  <si>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</si>
  <si>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</si>
  <si>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</si>
  <si>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</si>
  <si>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</si>
  <si>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</si>
  <si>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</si>
  <si>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</si>
  <si>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</si>
  <si>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</si>
  <si>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</si>
  <si>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</si>
  <si>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</si>
  <si>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</si>
  <si>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</si>
  <si>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</si>
  <si>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</si>
  <si>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</si>
  <si>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</si>
  <si>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</si>
  <si>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</si>
  <si>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</si>
  <si>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</si>
  <si>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</si>
  <si>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</si>
  <si>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</si>
  <si>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</si>
  <si>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</si>
  <si>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</si>
  <si>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</si>
  <si>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</si>
  <si>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</si>
  <si>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</si>
  <si>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</si>
  <si>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</si>
  <si>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</si>
  <si>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</si>
  <si>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</si>
  <si>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</si>
  <si>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</si>
  <si>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</si>
  <si>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</si>
  <si>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</si>
  <si>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</si>
  <si>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</si>
  <si>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</si>
  <si>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</si>
  <si>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</si>
  <si>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</si>
  <si>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</si>
  <si>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</si>
  <si>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</si>
  <si>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</si>
  <si>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</si>
  <si>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</si>
  <si>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</si>
  <si>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</si>
  <si>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</si>
  <si>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</si>
  <si>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</si>
  <si>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</si>
  <si>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</si>
  <si>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</si>
  <si>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</si>
  <si>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</si>
  <si>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</si>
  <si>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</si>
  <si>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</si>
  <si>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</si>
  <si>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</si>
  <si>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</si>
  <si>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</si>
  <si>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</si>
  <si>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</si>
  <si>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</si>
  <si>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</si>
  <si>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</si>
  <si>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</si>
  <si>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</si>
  <si>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</si>
  <si>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</si>
  <si>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</si>
  <si>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</si>
  <si>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</si>
  <si>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</si>
  <si>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</si>
  <si>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</si>
  <si>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</si>
  <si>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</si>
  <si>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</si>
  <si>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</si>
  <si>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</si>
  <si>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</si>
  <si>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</si>
  <si>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</si>
  <si>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</si>
  <si>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</si>
  <si>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</si>
  <si>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</si>
  <si>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</si>
  <si>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</si>
  <si>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</si>
  <si>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</si>
  <si>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</si>
  <si>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</si>
  <si>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</si>
  <si>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</si>
  <si>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</si>
  <si>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</si>
  <si>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</si>
  <si>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</si>
  <si>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</si>
  <si>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</si>
  <si>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</si>
  <si>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</si>
  <si>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</si>
  <si>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</si>
  <si>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</si>
  <si>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</si>
  <si>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</si>
  <si>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</si>
  <si>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</si>
  <si>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</si>
  <si>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</si>
  <si>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</si>
  <si>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</si>
  <si>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</si>
  <si>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</si>
  <si>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</si>
  <si>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</si>
  <si>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</si>
  <si>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</si>
  <si>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</si>
  <si>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</si>
  <si>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</si>
  <si>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</si>
  <si>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</si>
  <si>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</si>
  <si>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</si>
  <si>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</si>
  <si>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</si>
  <si>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</si>
  <si>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</si>
  <si>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</si>
  <si>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</si>
  <si>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</si>
  <si>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</si>
  <si>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</si>
  <si>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</si>
  <si>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</si>
  <si>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</si>
  <si>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</si>
  <si>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</si>
  <si>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</si>
  <si>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</si>
  <si>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</si>
  <si>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</si>
  <si>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</si>
  <si>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</si>
  <si>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</si>
  <si>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</si>
  <si>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</si>
  <si>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</si>
  <si>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</si>
  <si>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</si>
  <si>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</si>
  <si>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</si>
  <si>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</si>
  <si>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</si>
  <si>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</si>
  <si>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</si>
  <si>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</si>
  <si>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</si>
  <si>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</si>
  <si>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</si>
  <si>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</si>
  <si>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</si>
  <si>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</si>
  <si>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</si>
  <si>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</si>
  <si>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</si>
  <si>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</si>
  <si>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</si>
  <si>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</si>
  <si>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</si>
  <si>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</si>
  <si>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</si>
  <si>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</si>
  <si>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</si>
  <si>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</si>
  <si>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</si>
  <si>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</si>
  <si>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</si>
  <si>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</si>
  <si>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</si>
  <si>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</si>
  <si>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</si>
  <si>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</si>
  <si>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</si>
  <si>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</si>
  <si>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</si>
  <si>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</si>
  <si>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</si>
  <si>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</si>
  <si>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</si>
  <si>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</si>
  <si>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</si>
  <si>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</si>
  <si>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</si>
  <si>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</si>
  <si>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</si>
  <si>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</si>
  <si>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</si>
  <si>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</si>
  <si>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</si>
  <si>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</si>
  <si>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</si>
  <si>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</si>
  <si>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</si>
  <si>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</si>
  <si>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</si>
  <si>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</si>
  <si>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</si>
  <si>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</si>
  <si>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</si>
  <si>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</si>
  <si>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</si>
  <si>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</si>
  <si>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</si>
  <si>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</si>
  <si>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</si>
  <si>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</si>
  <si>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</si>
  <si>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</si>
  <si>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</si>
  <si>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</si>
  <si>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</si>
  <si>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</si>
  <si>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</si>
  <si>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</si>
  <si>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</si>
  <si>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</si>
  <si>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</si>
  <si>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</si>
  <si>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</si>
  <si>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</si>
  <si>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</si>
  <si>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</si>
  <si>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</si>
  <si>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</si>
  <si>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</si>
  <si>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</si>
  <si>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</si>
  <si>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</si>
  <si>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</si>
  <si>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</si>
  <si>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</si>
  <si>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</si>
  <si>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</si>
  <si>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</si>
  <si>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</si>
  <si>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</si>
  <si>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</si>
  <si>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</si>
  <si>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</si>
  <si>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</si>
  <si>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</si>
  <si>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</si>
  <si>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</si>
  <si>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</si>
  <si>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</si>
  <si>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</si>
  <si>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</si>
  <si>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</si>
  <si>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</si>
  <si>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</si>
  <si>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</si>
  <si>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</si>
  <si>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</si>
  <si>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</si>
  <si>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</si>
  <si>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</si>
  <si>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</si>
  <si>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</si>
  <si>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</si>
  <si>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</si>
  <si>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</si>
  <si>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</si>
  <si>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</si>
  <si>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</si>
  <si>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</si>
  <si>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</si>
  <si>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</si>
  <si>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</si>
  <si>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</si>
  <si>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</si>
  <si>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</si>
  <si>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</si>
  <si>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</si>
  <si>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</si>
  <si>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</si>
  <si>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</si>
  <si>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</si>
  <si>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</si>
  <si>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</si>
  <si>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</si>
  <si>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</si>
  <si>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</si>
  <si>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</si>
  <si>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</si>
  <si>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</si>
  <si>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</si>
  <si>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</si>
  <si>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</si>
  <si>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</si>
  <si>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</si>
  <si>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</si>
  <si>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</si>
  <si>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</si>
  <si>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</si>
  <si>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</si>
  <si>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</si>
  <si>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</si>
  <si>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</si>
  <si>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</si>
  <si>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</si>
  <si>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</si>
  <si>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</si>
  <si>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</si>
  <si>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</si>
  <si>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</si>
  <si>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</si>
  <si>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</si>
  <si>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</si>
  <si>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</si>
  <si>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</si>
  <si>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</si>
  <si>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</si>
  <si>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</si>
  <si>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</si>
  <si>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</si>
  <si>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</si>
  <si>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</si>
  <si>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</si>
  <si>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</si>
  <si>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</si>
  <si>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</si>
  <si>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</si>
  <si>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</si>
  <si>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</si>
  <si>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</si>
  <si>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</si>
  <si>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</si>
  <si>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</si>
  <si>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</si>
  <si>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</si>
  <si>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</si>
  <si>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</si>
  <si>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</si>
  <si>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</si>
  <si>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</si>
  <si>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</si>
  <si>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</si>
  <si>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</si>
  <si>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</si>
  <si>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</si>
  <si>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</si>
  <si>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</si>
  <si>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</si>
  <si>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</si>
  <si>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</si>
  <si>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</si>
  <si>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</si>
  <si>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</si>
  <si>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</si>
  <si>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</si>
  <si>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</si>
  <si>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</si>
  <si>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</si>
  <si>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</si>
  <si>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</si>
  <si>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</si>
  <si>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</si>
  <si>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</si>
  <si>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</si>
  <si>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</si>
  <si>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</si>
  <si>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</si>
  <si>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</si>
  <si>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</si>
  <si>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</si>
  <si>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</si>
  <si>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</si>
  <si>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</si>
  <si>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</si>
  <si>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</si>
  <si>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</si>
  <si>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</si>
  <si>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</si>
  <si>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</si>
  <si>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</si>
  <si>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</si>
  <si>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</si>
  <si>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</si>
  <si>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</si>
  <si>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</si>
  <si>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</si>
  <si>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</si>
  <si>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</si>
  <si>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</si>
  <si>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</si>
  <si>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</si>
  <si>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</si>
  <si>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</si>
  <si>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</si>
  <si>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</si>
  <si>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</si>
  <si>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</si>
  <si>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</si>
  <si>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</si>
  <si>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</si>
  <si>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</si>
  <si>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</si>
  <si>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</si>
  <si>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</si>
  <si>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</si>
  <si>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</si>
  <si>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</si>
  <si>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</si>
  <si>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</si>
  <si>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</si>
  <si>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</si>
  <si>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</si>
  <si>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</si>
  <si>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</si>
  <si>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</si>
  <si>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</si>
  <si>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</si>
  <si>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</si>
  <si>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</si>
  <si>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</si>
  <si>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</si>
  <si>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</si>
  <si>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</si>
  <si>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</si>
  <si>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</si>
  <si>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</si>
  <si>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</si>
  <si>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</si>
  <si>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</si>
  <si>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</si>
  <si>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</si>
  <si>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</si>
  <si>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</si>
  <si>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</si>
  <si>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</si>
  <si>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</si>
  <si>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</si>
  <si>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</si>
  <si>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</si>
  <si>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</si>
  <si>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</si>
  <si>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</si>
  <si>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</si>
  <si>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</si>
  <si>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</si>
  <si>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</si>
  <si>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</si>
  <si>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</si>
  <si>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</si>
  <si>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</si>
  <si>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</si>
  <si>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</si>
  <si>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</si>
  <si>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</si>
  <si>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</si>
  <si>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</si>
  <si>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</si>
  <si>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</si>
  <si>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</si>
  <si>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</si>
  <si>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</si>
  <si>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</si>
  <si>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</si>
  <si>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</si>
  <si>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</si>
  <si>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</si>
  <si>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</si>
  <si>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</si>
  <si>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</si>
  <si>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</si>
  <si>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</si>
  <si>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</si>
  <si>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</si>
  <si>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</si>
  <si>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</si>
  <si>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</si>
  <si>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</si>
  <si>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</si>
  <si>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</si>
  <si>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</si>
  <si>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</si>
  <si>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</si>
  <si>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</si>
  <si>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</si>
  <si>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</si>
  <si>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</si>
  <si>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</si>
  <si>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</si>
  <si>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</si>
  <si>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</si>
  <si>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</si>
  <si>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</si>
  <si>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</si>
  <si>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</si>
  <si>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</si>
  <si>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</si>
  <si>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</si>
  <si>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</si>
  <si>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</si>
  <si>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</si>
  <si>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</si>
  <si>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</si>
  <si>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</si>
  <si>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</si>
  <si>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</si>
  <si>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</si>
  <si>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</si>
  <si>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</si>
  <si>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</si>
  <si>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</si>
  <si>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</si>
  <si>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</si>
  <si>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</si>
  <si>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</si>
  <si>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</si>
  <si>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</si>
  <si>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</si>
  <si>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</si>
  <si>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</si>
  <si>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</si>
  <si>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</si>
  <si>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</si>
  <si>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</si>
  <si>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</si>
  <si>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</si>
  <si>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</si>
  <si>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</si>
  <si>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</si>
  <si>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</si>
  <si>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</si>
  <si>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</si>
  <si>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</si>
  <si>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</si>
  <si>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</si>
  <si>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</si>
  <si>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</si>
  <si>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</si>
  <si>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</si>
  <si>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</si>
  <si>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</si>
  <si>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</si>
  <si>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</si>
  <si>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</si>
  <si>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</si>
  <si>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</si>
  <si>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</si>
  <si>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</si>
  <si>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</si>
  <si>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</si>
  <si>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</si>
  <si>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</si>
  <si>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</si>
  <si>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</si>
  <si>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</si>
  <si>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</si>
  <si>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</si>
  <si>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</si>
  <si>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</si>
  <si>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</si>
  <si>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</si>
  <si>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</si>
  <si>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</si>
  <si>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</si>
  <si>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</si>
  <si>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</si>
  <si>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</si>
  <si>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</si>
  <si>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</si>
  <si>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</si>
  <si>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</si>
  <si>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</si>
  <si>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</si>
  <si>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</si>
  <si>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</si>
  <si>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</si>
  <si>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</si>
  <si>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</si>
  <si>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</si>
  <si>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</si>
  <si>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</si>
  <si>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</si>
  <si>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</si>
  <si>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</si>
  <si>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</si>
  <si>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</si>
  <si>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</si>
  <si>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</si>
  <si>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</si>
  <si>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</si>
  <si>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</si>
  <si>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</si>
  <si>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</si>
  <si>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</si>
  <si>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</si>
  <si>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</si>
  <si>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</si>
  <si>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</si>
  <si>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</si>
  <si>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</si>
  <si>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</si>
  <si>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</si>
  <si>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</si>
  <si>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</si>
  <si>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</si>
  <si>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</si>
  <si>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</si>
  <si>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</si>
  <si>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</si>
  <si>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</si>
  <si>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</si>
  <si>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</si>
  <si>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</si>
  <si>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</si>
  <si>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</si>
  <si>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</si>
  <si>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</si>
  <si>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</si>
  <si>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</si>
  <si>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</si>
  <si>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</si>
  <si>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</si>
  <si>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</si>
  <si>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</si>
  <si>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</si>
  <si>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</si>
  <si>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</si>
  <si>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</si>
  <si>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</si>
  <si>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</si>
  <si>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</si>
  <si>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</si>
  <si>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</si>
  <si>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</si>
  <si>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</si>
  <si>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</si>
  <si>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</si>
  <si>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</si>
  <si>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</si>
  <si>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</si>
  <si>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</si>
  <si>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</si>
  <si>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</si>
  <si>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</si>
  <si>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</si>
  <si>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</si>
  <si>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</si>
  <si>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</si>
  <si>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</si>
  <si>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</si>
  <si>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</si>
  <si>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</si>
  <si>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</si>
  <si>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</si>
  <si>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</si>
  <si>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</si>
  <si>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</si>
  <si>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</si>
  <si>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</si>
  <si>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</si>
  <si>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</si>
  <si>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</si>
  <si>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</si>
  <si>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</si>
  <si>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</si>
  <si>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</si>
  <si>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</si>
  <si>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</si>
  <si>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</si>
  <si>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</si>
  <si>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</si>
  <si>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</si>
  <si>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</si>
  <si>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</si>
  <si>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</si>
  <si>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</si>
  <si>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</si>
  <si>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</si>
  <si>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</si>
  <si>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</si>
  <si>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</si>
  <si>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</si>
  <si>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</si>
  <si>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</si>
  <si>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</si>
  <si>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</si>
  <si>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</si>
  <si>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</si>
  <si>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</si>
  <si>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</si>
  <si>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</si>
  <si>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</si>
  <si>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</si>
  <si>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</si>
  <si>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</si>
  <si>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</si>
  <si>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</si>
  <si>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</si>
  <si>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</si>
  <si>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</si>
  <si>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</si>
  <si>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</si>
  <si>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</si>
  <si>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</si>
  <si>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</si>
  <si>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</si>
  <si>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</si>
  <si>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</si>
  <si>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</si>
  <si>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</si>
  <si>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</si>
  <si>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</si>
  <si>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</si>
  <si>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</si>
  <si>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</si>
  <si>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</si>
  <si>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</si>
  <si>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</si>
  <si>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</si>
  <si>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</si>
  <si>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</si>
  <si>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</si>
  <si>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</si>
  <si>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</si>
  <si>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</si>
  <si>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</si>
  <si>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</si>
  <si>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</si>
  <si>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</si>
  <si>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</si>
  <si>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</si>
  <si>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</si>
  <si>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</si>
  <si>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</si>
  <si>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</si>
  <si>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</si>
  <si>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</si>
  <si>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</si>
  <si>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</si>
  <si>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</si>
  <si>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</si>
  <si>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</si>
  <si>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</si>
  <si>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</si>
  <si>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</si>
  <si>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</si>
  <si>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</si>
  <si>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</si>
  <si>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</si>
  <si>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</si>
  <si>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</si>
  <si>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</si>
  <si>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</si>
  <si>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</si>
  <si>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</si>
  <si>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</si>
  <si>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</si>
  <si>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</si>
  <si>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</si>
  <si>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</si>
  <si>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</si>
  <si>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</si>
  <si>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</si>
  <si>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</si>
  <si>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</si>
  <si>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</si>
  <si>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</si>
  <si>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</si>
  <si>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</si>
  <si>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</si>
  <si>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</si>
  <si>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</si>
  <si>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</si>
  <si>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</si>
  <si>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</si>
  <si>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</si>
  <si>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</si>
  <si>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</si>
  <si>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</si>
  <si>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</si>
  <si>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</si>
  <si>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</si>
  <si>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</si>
  <si>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</si>
  <si>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</si>
  <si>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</si>
  <si>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</si>
  <si>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</si>
  <si>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</si>
  <si>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</si>
  <si>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</si>
  <si>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</si>
  <si>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</si>
  <si>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</si>
  <si>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</si>
  <si>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</si>
  <si>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</si>
  <si>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</si>
  <si>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</si>
  <si>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</si>
  <si>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</si>
  <si>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</si>
  <si>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</si>
  <si>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</si>
  <si>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</si>
  <si>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</si>
  <si>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</si>
  <si>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</si>
  <si>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</si>
  <si>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</si>
  <si>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</si>
  <si>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</si>
  <si>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</si>
  <si>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</si>
  <si>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</si>
  <si>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</si>
  <si>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</si>
  <si>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</si>
  <si>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</si>
  <si>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</si>
  <si>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</si>
  <si>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</si>
  <si>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</si>
  <si>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</si>
  <si>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</si>
  <si>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</si>
  <si>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</si>
  <si>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</si>
  <si>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</si>
  <si>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</si>
  <si>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</si>
  <si>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</si>
  <si>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</si>
  <si>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</si>
  <si>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</si>
  <si>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</si>
  <si>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</si>
  <si>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</si>
  <si>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</si>
  <si>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</si>
  <si>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</si>
  <si>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</si>
  <si>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</si>
  <si>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</si>
  <si>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</si>
  <si>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</si>
  <si>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</si>
  <si>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</si>
  <si>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</si>
  <si>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</si>
  <si>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</si>
  <si>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</si>
  <si>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</si>
  <si>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</si>
  <si>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</si>
  <si>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</si>
  <si>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</si>
  <si>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</si>
  <si>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</si>
  <si>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</si>
  <si>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</si>
  <si>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</si>
  <si>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</si>
  <si>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</si>
  <si>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</si>
  <si>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</si>
  <si>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</si>
  <si>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</si>
  <si>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</si>
  <si>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</si>
  <si>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</si>
  <si>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</si>
  <si>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</si>
  <si>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</si>
  <si>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</si>
  <si>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</si>
  <si>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</si>
  <si>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</si>
  <si>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</si>
  <si>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</si>
  <si>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</si>
  <si>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</si>
  <si>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</si>
  <si>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</si>
  <si>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</si>
  <si>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</si>
  <si>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</si>
  <si>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</si>
  <si>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</si>
  <si>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</si>
  <si>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</si>
  <si>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</si>
  <si>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</si>
  <si>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</si>
  <si>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</si>
  <si>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</si>
  <si>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</si>
  <si>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</si>
  <si>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</si>
  <si>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</si>
  <si>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</si>
  <si>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</si>
  <si>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</si>
  <si>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</si>
  <si>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</si>
  <si>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</si>
  <si>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</si>
  <si>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</si>
  <si>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</si>
  <si>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</si>
  <si>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</si>
  <si>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</si>
  <si>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</si>
  <si>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</si>
  <si>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</si>
  <si>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</si>
  <si>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</si>
  <si>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</si>
  <si>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</si>
  <si>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</si>
  <si>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</si>
  <si>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</si>
  <si>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</si>
  <si>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</si>
  <si>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</si>
  <si>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</si>
  <si>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</si>
  <si>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</si>
  <si>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</si>
  <si>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</si>
  <si>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</si>
  <si>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</si>
  <si>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</si>
  <si>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</si>
  <si>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</si>
  <si>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</si>
  <si>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</si>
  <si>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</si>
  <si>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</si>
  <si>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</si>
  <si>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</si>
  <si>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</si>
  <si>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</si>
  <si>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</si>
  <si>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</si>
  <si>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</si>
  <si>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</si>
  <si>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</si>
  <si>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</si>
  <si>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</si>
  <si>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</si>
  <si>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</si>
  <si>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</si>
  <si>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</si>
  <si>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</si>
  <si>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</si>
  <si>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</si>
  <si>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</si>
  <si>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</si>
  <si>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</si>
  <si>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</si>
  <si>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</si>
  <si>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</si>
  <si>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</si>
  <si>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</si>
  <si>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</si>
  <si>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</si>
  <si>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</si>
  <si>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</si>
  <si>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</si>
  <si>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</si>
  <si>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</si>
  <si>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</si>
  <si>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</si>
  <si>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</si>
  <si>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</si>
  <si>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</si>
  <si>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</si>
  <si>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</si>
  <si>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</si>
  <si>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</si>
  <si>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</si>
  <si>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</si>
  <si>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</si>
  <si>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</si>
  <si>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</si>
  <si>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</si>
  <si>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</si>
  <si>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</si>
  <si>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</si>
  <si>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</si>
  <si>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</si>
  <si>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</si>
  <si>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</si>
  <si>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</si>
  <si>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</si>
  <si>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</si>
  <si>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</si>
  <si>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</si>
  <si>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</si>
  <si>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</si>
  <si>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</si>
  <si>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</si>
  <si>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</si>
  <si>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</si>
  <si>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</si>
  <si>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</si>
  <si>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</si>
  <si>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</si>
  <si>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</si>
  <si>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</si>
  <si>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</si>
  <si>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</si>
  <si>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</si>
  <si>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</si>
  <si>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</si>
  <si>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</si>
  <si>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</si>
  <si>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</si>
  <si>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</si>
  <si>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</si>
  <si>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</si>
  <si>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</si>
  <si>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</si>
  <si>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</si>
  <si>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</si>
  <si>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</si>
  <si>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</si>
  <si>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</si>
  <si>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</si>
  <si>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</si>
  <si>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</si>
  <si>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</si>
  <si>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</si>
  <si>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</si>
  <si>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</si>
  <si>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</si>
  <si>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</si>
  <si>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</si>
  <si>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</si>
  <si>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</si>
  <si>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</si>
  <si>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</si>
  <si>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</si>
  <si>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</si>
  <si>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</si>
  <si>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</si>
  <si>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</si>
  <si>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</si>
  <si>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Portsmouth School Department - SAU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</si>
</sst>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0"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u/>
      <sz val="8"/>
      <color theme="10"/>
      <name val="Arial"/>
    </font>
    <font>
      <u/>
      <sz val="8"/>
      <color theme="11"/>
      <name val="Arial"/>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auto="1"/>
      </bottom>
      <diagonal/>
    </border>
    <border>
      <left/>
      <right/>
      <top/>
      <bottom style="medium">
        <color auto="1"/>
      </bottom>
      <diagonal/>
    </border>
    <border>
      <left/>
      <right/>
      <top style="double">
        <color auto="1"/>
      </top>
      <bottom/>
      <diagonal/>
    </border>
    <border>
      <left/>
      <right/>
      <top style="double">
        <color auto="1"/>
      </top>
      <bottom style="double">
        <color auto="1"/>
      </bottom>
      <diagonal/>
    </border>
    <border>
      <left/>
      <right/>
      <top style="thin">
        <color auto="1"/>
      </top>
      <bottom/>
      <diagonal/>
    </border>
    <border>
      <left/>
      <right/>
      <top/>
      <bottom style="double">
        <color auto="1"/>
      </bottom>
      <diagonal/>
    </border>
    <border>
      <left/>
      <right/>
      <top style="medium">
        <color auto="1"/>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diagonal/>
    </border>
    <border>
      <left/>
      <right style="thin">
        <color auto="1"/>
      </right>
      <top/>
      <bottom style="thick">
        <color auto="1"/>
      </bottom>
      <diagonal/>
    </border>
    <border>
      <left/>
      <right style="thick">
        <color auto="1"/>
      </right>
      <top/>
      <bottom style="thick">
        <color auto="1"/>
      </bottom>
      <diagonal/>
    </border>
    <border>
      <left style="thick">
        <color auto="1"/>
      </left>
      <right/>
      <top style="thick">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7">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7">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Followed Hyperlink" xfId="44" builtinId="9" hidden="1"/>
    <cellStyle name="Followed Hyperlink" xfId="46" builtinId="9" hidde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3" builtinId="8" hidden="1"/>
    <cellStyle name="Hyperlink" xfId="45" builtinId="8" hidde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zoomScalePageLayoutView="125" workbookViewId="0">
      <pane xSplit="5" ySplit="3" topLeftCell="F659" activePane="bottomRight" state="frozen"/>
      <selection pane="topRight" activeCell="F1" sqref="F1"/>
      <selection pane="bottomLeft" activeCell="A4" sqref="A4"/>
      <selection pane="bottomRight" activeCell="H666" sqref="H666"/>
    </sheetView>
  </sheetViews>
  <sheetFormatPr defaultColWidth="9"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449</v>
      </c>
      <c r="C2" s="21">
        <v>449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f>26300.87+1408</f>
        <v>27708.87</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v>511377.54</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24395.47</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f>13259.06+26879.28+4762.03</f>
        <v>44900.369999999995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97004.709999999992</v>
      </c>
      <c r="H19" s="41">
        <f>SUM(H9:H18)</f>
        <v>511377.54</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27265.22</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v>640.65</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f>40233.09+26879.28</f>
        <v>67112.37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95018.239999999991</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1986.47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511377.54</v>
      </c>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1986.47</v>
      </c>
      <c r="H51" s="41">
        <f>SUM(H35:H50)</f>
        <v>511377.54</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97004.709999999992</v>
      </c>
      <c r="H52" s="41">
        <f>H51+H32</f>
        <v>511377.54</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29741612+146993.35-29746.47</f>
        <v>29858858.880000003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v>266153.02</v>
      </c>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29858858.880000003</v>
      </c>
      <c r="G60" s="41">
        <f>SUM(G57:G59)</f>
        <v>0</v>
      </c>
      <c r="H60" s="41">
        <f>SUM(H57:H59)</f>
        <v>266153.02</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109969.49</v>
      </c>
      <c r="G63" s="24" t="s">
        <v>288</v>
      </c>
      <c r="H63" s="18">
        <v>48891.48</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v>15305.51</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6415900.0599999996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v>765794.24</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v>17612</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v>12760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6525869.5499999998</v>
      </c>
      <c r="G79" s="45" t="s">
        <v>288</v>
      </c>
      <c r="H79" s="41">
        <f>SUM(H63:H78)</f>
        <v>860363.23</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405132.62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16579</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3191.25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168600.52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v>22453.31</v>
      </c>
      <c r="H110" s="18">
        <v>68606.19</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3191.25</v>
      </c>
      <c r="G111" s="41">
        <f>SUM(G96:G110)</f>
        <v>427585.93</v>
      </c>
      <c r="H111" s="41">
        <f>SUM(H96:H110)</f>
        <v>253785.71</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36387919.68</v>
      </c>
      <c r="G112" s="41">
        <f>G60+G111</f>
        <v>427585.93</v>
      </c>
      <c r="H112" s="41">
        <f>H60+H79+H94+H111</f>
        <v>1380301.96</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11438069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1923.42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11439992.42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1863246.73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38223</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266153.02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474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15550.83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2168096.75</v>
      </c>
      <c r="G136" s="41">
        <f>SUM(G123:G135)</f>
        <v>15550.83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13608089.17</v>
      </c>
      <c r="G140" s="41">
        <f>G121+SUM(G136:G137)</f>
        <v>15550.83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335995.39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193033.46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44849</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266459.93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713230.2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v>224452.69</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69876</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71400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266459.93</v>
      </c>
      <c r="H163" s="41">
        <f>SUM(H150:H162)</f>
        <v>1652836.7399999998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266459.93</v>
      </c>
      <c r="H170" s="41">
        <f>H147+H163+SUM(H164:H169)</f>
        <v>1652836.7399999998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186540.32</v>
      </c>
      <c r="H180" s="18">
        <f>348266+500000+696110+20000</f>
        <v>1564376</v>
      </c>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186540.32</v>
      </c>
      <c r="H184" s="41">
        <f>SUM(H180:H183)</f>
        <v>1564376</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186540.32</v>
      </c>
      <c r="H193" s="41">
        <f>+H184+SUM(H189:H192)</f>
        <v>1564376</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49996008.850000001</v>
      </c>
      <c r="G194" s="47">
        <f>G112+G140+G170+G193</f>
        <v>896137.01</v>
      </c>
      <c r="H194" s="47">
        <f>H112+H140+H170+H193</f>
        <v>4597514.6999999993</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5314955.18</v>
      </c>
      <c r="G198" s="18">
        <v>3222309.82</v>
      </c>
      <c r="H198" s="18">
        <v>20875.990000000002</v>
      </c>
      <c r="I198" s="18">
        <v>139713.70000000001</v>
      </c>
      <c r="J198" s="18">
        <v>19451.82</v>
      </c>
      <c r="K198" s="18"/>
      <c r="L198" s="19">
        <f>SUM(F198:K198)</f>
        <v>8717306.5099999998</v>
      </c>
      <c r="M198" s="8"/>
      <c r="N198" s="266"/>
    </row>
    <row r="199" spans="1:14" s="3" customFormat="1" ht="12.2" customHeight="1" x14ac:dyDescent="0.15">
      <c r="A199" s="1" t="s">
        <v>439</v>
      </c>
      <c r="B199" s="2" t="s">
        <v>341</v>
      </c>
      <c r="C199" s="2" t="s">
        <v>291</v>
      </c>
      <c r="D199" s="2" t="s">
        <v>431</v>
      </c>
      <c r="E199" s="6">
        <v>1200</v>
      </c>
      <c r="F199" s="18">
        <v>1815563.4100000001</v>
      </c>
      <c r="G199" s="18">
        <v>927773.28</v>
      </c>
      <c r="H199" s="18">
        <v>498713.83</v>
      </c>
      <c r="I199" s="18">
        <v>2802.99</v>
      </c>
      <c r="J199" s="18"/>
      <c r="K199" s="18"/>
      <c r="L199" s="19">
        <f>SUM(F199:K199)</f>
        <v>3244853.5100000007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35969.410000000003</v>
      </c>
      <c r="G201" s="18">
        <v>13406.09</v>
      </c>
      <c r="H201" s="18">
        <v>3630</v>
      </c>
      <c r="I201" s="18"/>
      <c r="J201" s="18"/>
      <c r="K201" s="18"/>
      <c r="L201" s="19">
        <f>SUM(F201:K201)</f>
        <v>53005.5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2046968.04</v>
      </c>
      <c r="G203" s="18">
        <v>1193955.05</v>
      </c>
      <c r="H203" s="18">
        <v>94804.53</v>
      </c>
      <c r="I203" s="18">
        <v>17296.96</v>
      </c>
      <c r="J203" s="18">
        <v>117.74</v>
      </c>
      <c r="K203" s="18">
        <v>2973</v>
      </c>
      <c r="L203" s="19">
        <f t="shared" ref="L203:L209" si="0">SUM(F203:K203)</f>
        <v>3356115.32</v>
      </c>
      <c r="M203" s="8"/>
      <c r="N203" s="266"/>
    </row>
    <row r="204" spans="1:14" s="3" customFormat="1" ht="12.2" customHeight="1" x14ac:dyDescent="0.15">
      <c r="A204" s="1" t="s">
        <v>443</v>
      </c>
      <c r="B204" s="2" t="s">
        <v>341</v>
      </c>
      <c r="C204" s="2" t="s">
        <v>295</v>
      </c>
      <c r="D204" s="2" t="s">
        <v>431</v>
      </c>
      <c r="E204" s="6">
        <v>2200</v>
      </c>
      <c r="F204" s="18">
        <v>140958.31</v>
      </c>
      <c r="G204" s="18">
        <v>74113.02</v>
      </c>
      <c r="H204" s="18">
        <v>4659.38</v>
      </c>
      <c r="I204" s="18">
        <v>19007.34</v>
      </c>
      <c r="J204" s="18">
        <v>74705.119999999995</v>
      </c>
      <c r="K204" s="18"/>
      <c r="L204" s="19">
        <f t="shared" si="0"/>
        <v>313443.17000000004</v>
      </c>
      <c r="M204" s="8"/>
      <c r="N204" s="266"/>
    </row>
    <row r="205" spans="1:14" s="3" customFormat="1" ht="12.2" customHeight="1" x14ac:dyDescent="0.15">
      <c r="A205" s="1" t="s">
        <v>444</v>
      </c>
      <c r="B205" s="2" t="s">
        <v>341</v>
      </c>
      <c r="C205" s="2" t="s">
        <v>296</v>
      </c>
      <c r="D205" s="2" t="s">
        <v>431</v>
      </c>
      <c r="E205" s="6">
        <v>2300</v>
      </c>
      <c r="F205" s="18">
        <v>203657.06</v>
      </c>
      <c r="G205" s="18">
        <v>50594.31</v>
      </c>
      <c r="H205" s="18">
        <v>58108.65</v>
      </c>
      <c r="I205" s="18">
        <v>10617.17</v>
      </c>
      <c r="J205" s="18"/>
      <c r="K205" s="18">
        <f>5714.43-0.02</f>
        <v>5714.41</v>
      </c>
      <c r="L205" s="19">
        <f t="shared" si="0"/>
        <v>328691.59999999998</v>
      </c>
      <c r="M205" s="8"/>
      <c r="N205" s="266"/>
    </row>
    <row r="206" spans="1:14" s="3" customFormat="1" ht="12.2" customHeight="1" x14ac:dyDescent="0.15">
      <c r="A206" s="1" t="s">
        <v>445</v>
      </c>
      <c r="B206" s="2" t="s">
        <v>341</v>
      </c>
      <c r="C206" s="2" t="s">
        <v>297</v>
      </c>
      <c r="D206" s="2" t="s">
        <v>431</v>
      </c>
      <c r="E206" s="6">
        <v>2400</v>
      </c>
      <c r="F206" s="18">
        <v>480518.18</v>
      </c>
      <c r="G206" s="18">
        <v>272613.85000000003</v>
      </c>
      <c r="H206" s="18">
        <v>1161.56</v>
      </c>
      <c r="I206" s="18">
        <v>1985.62</v>
      </c>
      <c r="J206" s="18"/>
      <c r="K206" s="18"/>
      <c r="L206" s="19">
        <f t="shared" si="0"/>
        <v>756279.21000000008</v>
      </c>
      <c r="M206" s="8"/>
      <c r="N206" s="266"/>
    </row>
    <row r="207" spans="1:14" s="3" customFormat="1" ht="12.2" customHeight="1" x14ac:dyDescent="0.15">
      <c r="A207" s="1" t="s">
        <v>446</v>
      </c>
      <c r="B207" s="2" t="s">
        <v>341</v>
      </c>
      <c r="C207" s="2" t="s">
        <v>298</v>
      </c>
      <c r="D207" s="2" t="s">
        <v>431</v>
      </c>
      <c r="E207" s="6">
        <v>2500</v>
      </c>
      <c r="F207" s="18">
        <v>153996.87</v>
      </c>
      <c r="G207" s="18">
        <v>28825.86</v>
      </c>
      <c r="H207" s="18">
        <v>54331.119999999995</v>
      </c>
      <c r="I207" s="18">
        <v>5034.0200000000004</v>
      </c>
      <c r="J207" s="18"/>
      <c r="K207" s="18">
        <v>86.81</v>
      </c>
      <c r="L207" s="19">
        <f t="shared" si="0"/>
        <v>242274.67999999996</v>
      </c>
      <c r="M207" s="8"/>
      <c r="N207" s="266"/>
    </row>
    <row r="208" spans="1:14" s="3" customFormat="1" ht="12.2" customHeight="1" x14ac:dyDescent="0.15">
      <c r="A208" s="1" t="s">
        <v>447</v>
      </c>
      <c r="B208" s="2" t="s">
        <v>341</v>
      </c>
      <c r="C208" s="2" t="s">
        <v>299</v>
      </c>
      <c r="D208" s="2" t="s">
        <v>431</v>
      </c>
      <c r="E208" s="6">
        <v>2600</v>
      </c>
      <c r="F208" s="18">
        <v>503000.83</v>
      </c>
      <c r="G208" s="18">
        <v>229552.43</v>
      </c>
      <c r="H208" s="18">
        <v>261043.21999999997</v>
      </c>
      <c r="I208" s="18">
        <v>199021.94</v>
      </c>
      <c r="J208" s="18">
        <v>10445.65</v>
      </c>
      <c r="K208" s="18">
        <v>8066.36</v>
      </c>
      <c r="L208" s="19">
        <f t="shared" si="0"/>
        <v>1211130.43</v>
      </c>
      <c r="M208" s="8"/>
      <c r="N208" s="266"/>
    </row>
    <row r="209" spans="1:14" s="3" customFormat="1" ht="12.2" customHeight="1" x14ac:dyDescent="0.15">
      <c r="A209" s="1" t="s">
        <v>448</v>
      </c>
      <c r="B209" s="2" t="s">
        <v>341</v>
      </c>
      <c r="C209" s="2" t="s">
        <v>300</v>
      </c>
      <c r="D209" s="2" t="s">
        <v>431</v>
      </c>
      <c r="E209" s="6">
        <v>2700</v>
      </c>
      <c r="F209" s="18"/>
      <c r="G209" s="18"/>
      <c r="H209" s="18">
        <v>467528.54</v>
      </c>
      <c r="I209" s="18"/>
      <c r="J209" s="18"/>
      <c r="K209" s="18"/>
      <c r="L209" s="19">
        <f t="shared" si="0"/>
        <v>467528.54</v>
      </c>
      <c r="M209" s="8"/>
      <c r="N209" s="266"/>
    </row>
    <row r="210" spans="1:14" s="3" customFormat="1" ht="12.2" customHeight="1" x14ac:dyDescent="0.15">
      <c r="A210" s="1" t="s">
        <v>449</v>
      </c>
      <c r="B210" s="2" t="s">
        <v>341</v>
      </c>
      <c r="C210" s="2" t="s">
        <v>343</v>
      </c>
      <c r="D210" s="2" t="s">
        <v>431</v>
      </c>
      <c r="E210" s="6">
        <v>2800</v>
      </c>
      <c r="F210" s="18">
        <v>229353.59</v>
      </c>
      <c r="G210" s="18">
        <v>43421.51</v>
      </c>
      <c r="H210" s="18">
        <v>74809.03</v>
      </c>
      <c r="I210" s="18">
        <v>33776.31</v>
      </c>
      <c r="J210" s="18"/>
      <c r="K210" s="18">
        <v>750</v>
      </c>
      <c r="L210" s="19">
        <f>SUM(F210:K210)</f>
        <v>382110.44</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10924940.879999999</v>
      </c>
      <c r="G212" s="41">
        <f t="shared" si="1"/>
        <v>6056565.2199999979</v>
      </c>
      <c r="H212" s="41">
        <f t="shared" si="1"/>
        <v>1539665.85</v>
      </c>
      <c r="I212" s="41">
        <f t="shared" si="1"/>
        <v>429256.05</v>
      </c>
      <c r="J212" s="41">
        <f t="shared" si="1"/>
        <v>104720.32999999999</v>
      </c>
      <c r="K212" s="41">
        <f t="shared" si="1"/>
        <v>17590.579999999998</v>
      </c>
      <c r="L212" s="41">
        <f t="shared" si="1"/>
        <v>19072738.91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2910123.4499999997</v>
      </c>
      <c r="G216" s="18">
        <v>1763367.17</v>
      </c>
      <c r="H216" s="18">
        <v>2384.25</v>
      </c>
      <c r="I216" s="18">
        <v>80965.509999999995</v>
      </c>
      <c r="J216" s="18">
        <v>3871.33</v>
      </c>
      <c r="K216" s="18"/>
      <c r="L216" s="19">
        <f>SUM(F216:K216)</f>
        <v>4760711.709999999</v>
      </c>
      <c r="M216" s="8"/>
      <c r="N216" s="266"/>
    </row>
    <row r="217" spans="1:14" s="3" customFormat="1" ht="12.2" customHeight="1" x14ac:dyDescent="0.15">
      <c r="A217" s="1" t="s">
        <v>439</v>
      </c>
      <c r="B217" s="2" t="s">
        <v>346</v>
      </c>
      <c r="C217" s="2" t="s">
        <v>291</v>
      </c>
      <c r="D217" s="2" t="s">
        <v>431</v>
      </c>
      <c r="E217" s="6">
        <v>1200</v>
      </c>
      <c r="F217" s="18">
        <v>754680.36</v>
      </c>
      <c r="G217" s="18">
        <v>420329.74</v>
      </c>
      <c r="H217" s="18">
        <v>478710.38</v>
      </c>
      <c r="I217" s="18">
        <v>4129.66</v>
      </c>
      <c r="J217" s="18">
        <v>259.89999999999998</v>
      </c>
      <c r="K217" s="18"/>
      <c r="L217" s="19">
        <f>SUM(F217:K217)</f>
        <v>1658110.0399999998</v>
      </c>
      <c r="M217" s="8"/>
      <c r="N217" s="266"/>
    </row>
    <row r="218" spans="1:14" s="3" customFormat="1" ht="12.2" customHeight="1" x14ac:dyDescent="0.15">
      <c r="A218" s="1" t="s">
        <v>440</v>
      </c>
      <c r="B218" s="2" t="s">
        <v>346</v>
      </c>
      <c r="C218" s="2" t="s">
        <v>292</v>
      </c>
      <c r="D218" s="2" t="s">
        <v>431</v>
      </c>
      <c r="E218" s="6">
        <v>1300</v>
      </c>
      <c r="F218" s="18">
        <v>241339.94</v>
      </c>
      <c r="G218" s="18">
        <v>143168.47</v>
      </c>
      <c r="H218" s="18"/>
      <c r="I218" s="18">
        <v>2301.5500000000002</v>
      </c>
      <c r="J218" s="18"/>
      <c r="K218" s="18"/>
      <c r="L218" s="19">
        <f>SUM(F218:K218)</f>
        <v>386809.96</v>
      </c>
      <c r="M218" s="8"/>
      <c r="N218" s="266"/>
    </row>
    <row r="219" spans="1:14" s="3" customFormat="1" ht="12.2" customHeight="1" x14ac:dyDescent="0.15">
      <c r="A219" s="1" t="s">
        <v>441</v>
      </c>
      <c r="B219" s="2" t="s">
        <v>346</v>
      </c>
      <c r="C219" s="2" t="s">
        <v>293</v>
      </c>
      <c r="D219" s="2" t="s">
        <v>431</v>
      </c>
      <c r="E219" s="6">
        <v>1400</v>
      </c>
      <c r="F219" s="18">
        <v>52298</v>
      </c>
      <c r="G219" s="18">
        <v>22203.09</v>
      </c>
      <c r="H219" s="18">
        <v>10588</v>
      </c>
      <c r="I219" s="18">
        <v>6367.69</v>
      </c>
      <c r="J219" s="18"/>
      <c r="K219" s="18"/>
      <c r="L219" s="19">
        <f>SUM(F219:K219)</f>
        <v>91456.78</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552777.06999999995</v>
      </c>
      <c r="G221" s="18">
        <v>311585.61</v>
      </c>
      <c r="H221" s="18">
        <v>23807.5</v>
      </c>
      <c r="I221" s="18">
        <v>1856.01</v>
      </c>
      <c r="J221" s="18">
        <v>60.91</v>
      </c>
      <c r="K221" s="18"/>
      <c r="L221" s="19">
        <f t="shared" ref="L221:L227" si="2">SUM(F221:K221)</f>
        <v>890087.1</v>
      </c>
      <c r="M221" s="8"/>
      <c r="N221" s="266"/>
    </row>
    <row r="222" spans="1:14" s="3" customFormat="1" ht="12.2" customHeight="1" x14ac:dyDescent="0.15">
      <c r="A222" s="1" t="s">
        <v>443</v>
      </c>
      <c r="B222" s="2" t="s">
        <v>346</v>
      </c>
      <c r="C222" s="2" t="s">
        <v>295</v>
      </c>
      <c r="D222" s="2" t="s">
        <v>431</v>
      </c>
      <c r="E222" s="6">
        <v>2200</v>
      </c>
      <c r="F222" s="18">
        <v>83766.84</v>
      </c>
      <c r="G222" s="18">
        <v>30685.55</v>
      </c>
      <c r="H222" s="18">
        <v>2410.4499999999998</v>
      </c>
      <c r="I222" s="18">
        <v>15857.7</v>
      </c>
      <c r="J222" s="18">
        <v>38647.449999999997</v>
      </c>
      <c r="K222" s="18"/>
      <c r="L222" s="19">
        <f t="shared" si="2"/>
        <v>171367.99</v>
      </c>
      <c r="M222" s="8"/>
      <c r="N222" s="266"/>
    </row>
    <row r="223" spans="1:14" s="3" customFormat="1" ht="12.2" customHeight="1" x14ac:dyDescent="0.15">
      <c r="A223" s="1" t="s">
        <v>444</v>
      </c>
      <c r="B223" s="2" t="s">
        <v>346</v>
      </c>
      <c r="C223" s="2" t="s">
        <v>296</v>
      </c>
      <c r="D223" s="2" t="s">
        <v>431</v>
      </c>
      <c r="E223" s="6">
        <v>2300</v>
      </c>
      <c r="F223" s="18">
        <v>123329.61</v>
      </c>
      <c r="G223" s="18">
        <v>34237.53</v>
      </c>
      <c r="H223" s="18">
        <v>32797.21</v>
      </c>
      <c r="I223" s="18">
        <v>5492.62</v>
      </c>
      <c r="J223" s="18"/>
      <c r="K223" s="18">
        <v>4596.2700000000004</v>
      </c>
      <c r="L223" s="19">
        <f t="shared" si="2"/>
        <v>200453.24</v>
      </c>
      <c r="M223" s="8"/>
      <c r="N223" s="266"/>
    </row>
    <row r="224" spans="1:14" s="3" customFormat="1" ht="12.2" customHeight="1" x14ac:dyDescent="0.15">
      <c r="A224" s="1" t="s">
        <v>445</v>
      </c>
      <c r="B224" s="2" t="s">
        <v>346</v>
      </c>
      <c r="C224" s="2" t="s">
        <v>297</v>
      </c>
      <c r="D224" s="2" t="s">
        <v>431</v>
      </c>
      <c r="E224" s="6">
        <v>2400</v>
      </c>
      <c r="F224" s="18">
        <v>312678.59000000003</v>
      </c>
      <c r="G224" s="18">
        <v>180640.26</v>
      </c>
      <c r="H224" s="18">
        <v>1273.3</v>
      </c>
      <c r="I224" s="18"/>
      <c r="J224" s="18"/>
      <c r="K224" s="18"/>
      <c r="L224" s="19">
        <f t="shared" si="2"/>
        <v>494592.15</v>
      </c>
      <c r="M224" s="8"/>
      <c r="N224" s="266"/>
    </row>
    <row r="225" spans="1:14" s="3" customFormat="1" ht="12.2" customHeight="1" x14ac:dyDescent="0.15">
      <c r="A225" s="1" t="s">
        <v>446</v>
      </c>
      <c r="B225" s="2" t="s">
        <v>346</v>
      </c>
      <c r="C225" s="2" t="s">
        <v>298</v>
      </c>
      <c r="D225" s="2" t="s">
        <v>431</v>
      </c>
      <c r="E225" s="6">
        <v>2500</v>
      </c>
      <c r="F225" s="18">
        <v>79667.72</v>
      </c>
      <c r="G225" s="18">
        <v>14912.58</v>
      </c>
      <c r="H225" s="18">
        <v>32650.74</v>
      </c>
      <c r="I225" s="18">
        <v>2604.27</v>
      </c>
      <c r="J225" s="18"/>
      <c r="K225" s="18">
        <v>44.91</v>
      </c>
      <c r="L225" s="19">
        <f t="shared" si="2"/>
        <v>129880.22000000002</v>
      </c>
      <c r="M225" s="8"/>
      <c r="N225" s="266"/>
    </row>
    <row r="226" spans="1:14" s="3" customFormat="1" ht="12.2" customHeight="1" x14ac:dyDescent="0.15">
      <c r="A226" s="1" t="s">
        <v>447</v>
      </c>
      <c r="B226" s="2" t="s">
        <v>346</v>
      </c>
      <c r="C226" s="2" t="s">
        <v>299</v>
      </c>
      <c r="D226" s="2" t="s">
        <v>431</v>
      </c>
      <c r="E226" s="6">
        <v>2600</v>
      </c>
      <c r="F226" s="18">
        <v>368707.02</v>
      </c>
      <c r="G226" s="18">
        <v>172451.43</v>
      </c>
      <c r="H226" s="18">
        <v>147462.41</v>
      </c>
      <c r="I226" s="18">
        <v>242327.42</v>
      </c>
      <c r="J226" s="18">
        <v>5403.88</v>
      </c>
      <c r="K226" s="18">
        <v>4173</v>
      </c>
      <c r="L226" s="19">
        <f t="shared" si="2"/>
        <v>940525.16</v>
      </c>
      <c r="M226" s="8"/>
      <c r="N226" s="266"/>
    </row>
    <row r="227" spans="1:14" s="3" customFormat="1" ht="12.2" customHeight="1" x14ac:dyDescent="0.15">
      <c r="A227" s="1" t="s">
        <v>448</v>
      </c>
      <c r="B227" s="2" t="s">
        <v>346</v>
      </c>
      <c r="C227" s="2" t="s">
        <v>300</v>
      </c>
      <c r="D227" s="2" t="s">
        <v>431</v>
      </c>
      <c r="E227" s="6">
        <v>2700</v>
      </c>
      <c r="F227" s="18"/>
      <c r="G227" s="18"/>
      <c r="H227" s="18">
        <v>297066.59999999998</v>
      </c>
      <c r="I227" s="18"/>
      <c r="J227" s="18"/>
      <c r="K227" s="18"/>
      <c r="L227" s="19">
        <f t="shared" si="2"/>
        <v>297066.59999999998</v>
      </c>
      <c r="M227" s="8"/>
      <c r="N227" s="266"/>
    </row>
    <row r="228" spans="1:14" s="3" customFormat="1" ht="12.2" customHeight="1" x14ac:dyDescent="0.15">
      <c r="A228" s="1" t="s">
        <v>449</v>
      </c>
      <c r="B228" s="2" t="s">
        <v>346</v>
      </c>
      <c r="C228" s="2" t="s">
        <v>343</v>
      </c>
      <c r="D228" s="2" t="s">
        <v>431</v>
      </c>
      <c r="E228" s="6">
        <v>2800</v>
      </c>
      <c r="F228" s="18">
        <v>118652.26</v>
      </c>
      <c r="G228" s="18">
        <v>22463.39</v>
      </c>
      <c r="H228" s="18">
        <v>34183.68</v>
      </c>
      <c r="I228" s="18">
        <v>17473.61</v>
      </c>
      <c r="J228" s="18"/>
      <c r="K228" s="18">
        <v>388</v>
      </c>
      <c r="L228" s="19">
        <f>SUM(F228:K228)</f>
        <v>193160.94</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5598020.8599999994</v>
      </c>
      <c r="G230" s="41">
        <f>SUM(G216:G229)</f>
        <v>3116044.8200000003</v>
      </c>
      <c r="H230" s="41">
        <f>SUM(H216:H229)</f>
        <v>1063334.52</v>
      </c>
      <c r="I230" s="41">
        <f>SUM(I216:I229)</f>
        <v>379376.04</v>
      </c>
      <c r="J230" s="41">
        <f>SUM(J216:J229)</f>
        <v>48243.469999999994</v>
      </c>
      <c r="K230" s="41">
        <f t="shared" si="3"/>
        <v>9202.18</v>
      </c>
      <c r="L230" s="41">
        <f t="shared" si="3"/>
        <v>10214221.889999999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5509521.75</v>
      </c>
      <c r="G234" s="18">
        <v>3366940.6100000003</v>
      </c>
      <c r="H234" s="18">
        <v>8843.49</v>
      </c>
      <c r="I234" s="18">
        <v>117680.47</v>
      </c>
      <c r="J234" s="18">
        <v>26676.42</v>
      </c>
      <c r="K234" s="18">
        <v>520</v>
      </c>
      <c r="L234" s="19">
        <f>SUM(F234:K234)</f>
        <v>9030182.7400000002</v>
      </c>
      <c r="M234" s="8"/>
      <c r="N234" s="266"/>
    </row>
    <row r="235" spans="1:14" s="3" customFormat="1" ht="12.2" customHeight="1" x14ac:dyDescent="0.15">
      <c r="A235" s="1" t="s">
        <v>439</v>
      </c>
      <c r="B235" s="2" t="s">
        <v>350</v>
      </c>
      <c r="C235" s="2" t="s">
        <v>291</v>
      </c>
      <c r="D235" s="2" t="s">
        <v>431</v>
      </c>
      <c r="E235" s="6">
        <v>1200</v>
      </c>
      <c r="F235" s="18">
        <v>485267.66000000003</v>
      </c>
      <c r="G235" s="18">
        <v>255561.28</v>
      </c>
      <c r="H235" s="18">
        <v>341183.88</v>
      </c>
      <c r="I235" s="18">
        <v>2657.1299999999997</v>
      </c>
      <c r="J235" s="18">
        <v>217.43</v>
      </c>
      <c r="K235" s="18"/>
      <c r="L235" s="19">
        <f>SUM(F235:K235)</f>
        <v>1084887.3799999999</v>
      </c>
      <c r="M235" s="8"/>
      <c r="N235" s="266"/>
    </row>
    <row r="236" spans="1:14" s="3" customFormat="1" ht="12.2" customHeight="1" x14ac:dyDescent="0.15">
      <c r="A236" s="1" t="s">
        <v>440</v>
      </c>
      <c r="B236" s="2" t="s">
        <v>350</v>
      </c>
      <c r="C236" s="2" t="s">
        <v>292</v>
      </c>
      <c r="D236" s="2" t="s">
        <v>431</v>
      </c>
      <c r="E236" s="6">
        <v>1300</v>
      </c>
      <c r="F236" s="18">
        <v>656939.43000000005</v>
      </c>
      <c r="G236" s="18">
        <v>412641.37</v>
      </c>
      <c r="H236" s="18">
        <v>8295.92</v>
      </c>
      <c r="I236" s="18">
        <v>19847.68</v>
      </c>
      <c r="J236" s="18">
        <v>2307.5</v>
      </c>
      <c r="K236" s="18"/>
      <c r="L236" s="19">
        <f>SUM(F236:K236)</f>
        <v>1100031.8999999999</v>
      </c>
      <c r="M236" s="8"/>
      <c r="N236" s="266"/>
    </row>
    <row r="237" spans="1:14" s="3" customFormat="1" ht="12.2" customHeight="1" x14ac:dyDescent="0.15">
      <c r="A237" s="1" t="s">
        <v>441</v>
      </c>
      <c r="B237" s="2" t="s">
        <v>350</v>
      </c>
      <c r="C237" s="2" t="s">
        <v>293</v>
      </c>
      <c r="D237" s="2" t="s">
        <v>431</v>
      </c>
      <c r="E237" s="6">
        <v>1400</v>
      </c>
      <c r="F237" s="18">
        <v>230131</v>
      </c>
      <c r="G237" s="18">
        <v>134284.19</v>
      </c>
      <c r="H237" s="18">
        <v>82670.009999999995</v>
      </c>
      <c r="I237" s="18">
        <v>55823.9</v>
      </c>
      <c r="J237" s="18"/>
      <c r="K237" s="18"/>
      <c r="L237" s="19">
        <f>SUM(F237:K237)</f>
        <v>502909.10000000003</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1025890.54</v>
      </c>
      <c r="G239" s="18">
        <v>579045.58000000007</v>
      </c>
      <c r="H239" s="18">
        <v>24765.11</v>
      </c>
      <c r="I239" s="18">
        <v>15993.47</v>
      </c>
      <c r="J239" s="18">
        <v>135.32</v>
      </c>
      <c r="K239" s="18">
        <v>19855.18</v>
      </c>
      <c r="L239" s="19">
        <f t="shared" ref="L239:L245" si="4">SUM(F239:K239)</f>
        <v>1665685.2000000002</v>
      </c>
      <c r="M239" s="8"/>
      <c r="N239" s="266"/>
    </row>
    <row r="240" spans="1:14" s="3" customFormat="1" ht="12.2" customHeight="1" x14ac:dyDescent="0.15">
      <c r="A240" s="1" t="s">
        <v>443</v>
      </c>
      <c r="B240" s="2" t="s">
        <v>350</v>
      </c>
      <c r="C240" s="2" t="s">
        <v>295</v>
      </c>
      <c r="D240" s="2" t="s">
        <v>431</v>
      </c>
      <c r="E240" s="6">
        <v>2200</v>
      </c>
      <c r="F240" s="18">
        <v>109142.02</v>
      </c>
      <c r="G240" s="18">
        <v>75500.23</v>
      </c>
      <c r="H240" s="18">
        <v>7495.68</v>
      </c>
      <c r="I240" s="18">
        <v>24486.75</v>
      </c>
      <c r="J240" s="18">
        <v>88739.26</v>
      </c>
      <c r="K240" s="18">
        <v>515</v>
      </c>
      <c r="L240" s="19">
        <f t="shared" si="4"/>
        <v>305878.94</v>
      </c>
      <c r="M240" s="8"/>
      <c r="N240" s="266"/>
    </row>
    <row r="241" spans="1:14" s="3" customFormat="1" ht="12.2" customHeight="1" x14ac:dyDescent="0.15">
      <c r="A241" s="1" t="s">
        <v>444</v>
      </c>
      <c r="B241" s="2" t="s">
        <v>350</v>
      </c>
      <c r="C241" s="2" t="s">
        <v>296</v>
      </c>
      <c r="D241" s="2" t="s">
        <v>431</v>
      </c>
      <c r="E241" s="6">
        <v>2300</v>
      </c>
      <c r="F241" s="18">
        <v>483057.49</v>
      </c>
      <c r="G241" s="18">
        <v>221355.84999999998</v>
      </c>
      <c r="H241" s="18">
        <v>76091.590000000011</v>
      </c>
      <c r="I241" s="18">
        <v>12202.67</v>
      </c>
      <c r="J241" s="18"/>
      <c r="K241" s="18">
        <v>28242.2</v>
      </c>
      <c r="L241" s="19">
        <f t="shared" si="4"/>
        <v>820949.79999999993</v>
      </c>
      <c r="M241" s="8"/>
      <c r="N241" s="266"/>
    </row>
    <row r="242" spans="1:14" s="3" customFormat="1" ht="12.2" customHeight="1" x14ac:dyDescent="0.15">
      <c r="A242" s="1" t="s">
        <v>445</v>
      </c>
      <c r="B242" s="2" t="s">
        <v>350</v>
      </c>
      <c r="C242" s="2" t="s">
        <v>297</v>
      </c>
      <c r="D242" s="2" t="s">
        <v>431</v>
      </c>
      <c r="E242" s="6">
        <v>2400</v>
      </c>
      <c r="F242" s="18">
        <v>810410.55</v>
      </c>
      <c r="G242" s="18">
        <v>496385.72</v>
      </c>
      <c r="H242" s="18">
        <v>62169.93</v>
      </c>
      <c r="I242" s="18">
        <v>2059.14</v>
      </c>
      <c r="J242" s="18"/>
      <c r="K242" s="18">
        <v>4343.83</v>
      </c>
      <c r="L242" s="19">
        <f t="shared" si="4"/>
        <v>1375369.17</v>
      </c>
      <c r="M242" s="8"/>
      <c r="N242" s="266"/>
    </row>
    <row r="243" spans="1:14" s="3" customFormat="1" ht="12.2" customHeight="1" x14ac:dyDescent="0.15">
      <c r="A243" s="1" t="s">
        <v>446</v>
      </c>
      <c r="B243" s="2" t="s">
        <v>350</v>
      </c>
      <c r="C243" s="2" t="s">
        <v>298</v>
      </c>
      <c r="D243" s="2" t="s">
        <v>431</v>
      </c>
      <c r="E243" s="6">
        <v>2500</v>
      </c>
      <c r="F243" s="18">
        <v>176993.74</v>
      </c>
      <c r="G243" s="18">
        <v>33130.53</v>
      </c>
      <c r="H243" s="18">
        <v>67299.31</v>
      </c>
      <c r="I243" s="18">
        <v>5785.77</v>
      </c>
      <c r="J243" s="18"/>
      <c r="K243" s="18">
        <v>99.77</v>
      </c>
      <c r="L243" s="19">
        <f t="shared" si="4"/>
        <v>283309.12</v>
      </c>
      <c r="M243" s="8"/>
      <c r="N243" s="266"/>
    </row>
    <row r="244" spans="1:14" s="3" customFormat="1" ht="12.2" customHeight="1" x14ac:dyDescent="0.15">
      <c r="A244" s="1" t="s">
        <v>447</v>
      </c>
      <c r="B244" s="2" t="s">
        <v>350</v>
      </c>
      <c r="C244" s="2" t="s">
        <v>299</v>
      </c>
      <c r="D244" s="2" t="s">
        <v>431</v>
      </c>
      <c r="E244" s="6">
        <v>2600</v>
      </c>
      <c r="F244" s="18">
        <v>585481.06999999995</v>
      </c>
      <c r="G244" s="18">
        <v>286687.82</v>
      </c>
      <c r="H244" s="18">
        <v>504516.01</v>
      </c>
      <c r="I244" s="18">
        <v>550482.79</v>
      </c>
      <c r="J244" s="18">
        <v>12005.53</v>
      </c>
      <c r="K244" s="18">
        <v>9270.93</v>
      </c>
      <c r="L244" s="19">
        <f t="shared" si="4"/>
        <v>1948444.15</v>
      </c>
      <c r="M244" s="8"/>
      <c r="N244" s="266"/>
    </row>
    <row r="245" spans="1:14" s="3" customFormat="1" ht="12.2" customHeight="1" x14ac:dyDescent="0.15">
      <c r="A245" s="1" t="s">
        <v>448</v>
      </c>
      <c r="B245" s="2" t="s">
        <v>350</v>
      </c>
      <c r="C245" s="2" t="s">
        <v>300</v>
      </c>
      <c r="D245" s="2" t="s">
        <v>431</v>
      </c>
      <c r="E245" s="6">
        <v>2700</v>
      </c>
      <c r="F245" s="18"/>
      <c r="G245" s="18"/>
      <c r="H245" s="18">
        <v>398809.75</v>
      </c>
      <c r="I245" s="18"/>
      <c r="J245" s="18"/>
      <c r="K245" s="18"/>
      <c r="L245" s="19">
        <f t="shared" si="4"/>
        <v>398809.75</v>
      </c>
      <c r="M245" s="8"/>
      <c r="N245" s="266"/>
    </row>
    <row r="246" spans="1:14" s="3" customFormat="1" ht="12.2" customHeight="1" x14ac:dyDescent="0.15">
      <c r="A246" s="1" t="s">
        <v>449</v>
      </c>
      <c r="B246" s="2" t="s">
        <v>350</v>
      </c>
      <c r="C246" s="2" t="s">
        <v>343</v>
      </c>
      <c r="D246" s="2" t="s">
        <v>431</v>
      </c>
      <c r="E246" s="6">
        <v>2800</v>
      </c>
      <c r="F246" s="18">
        <v>263603.71999999997</v>
      </c>
      <c r="G246" s="18">
        <v>49905.78</v>
      </c>
      <c r="H246" s="18">
        <v>88482.75</v>
      </c>
      <c r="I246" s="18">
        <v>38820.230000000003</v>
      </c>
      <c r="J246" s="18"/>
      <c r="K246" s="18">
        <v>862</v>
      </c>
      <c r="L246" s="19">
        <f>SUM(F246:K246)</f>
        <v>441674.48</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10336438.970000001</v>
      </c>
      <c r="G248" s="41">
        <f t="shared" si="5"/>
        <v>5911438.9600000009</v>
      </c>
      <c r="H248" s="41">
        <f t="shared" si="5"/>
        <v>1670623.43</v>
      </c>
      <c r="I248" s="41">
        <f t="shared" si="5"/>
        <v>845840</v>
      </c>
      <c r="J248" s="41">
        <f t="shared" si="5"/>
        <v>130081.45999999999</v>
      </c>
      <c r="K248" s="41">
        <f t="shared" si="5"/>
        <v>63708.91</v>
      </c>
      <c r="L248" s="41">
        <f t="shared" si="5"/>
        <v>18958131.73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26859400.710000001</v>
      </c>
      <c r="G258" s="41">
        <f t="shared" si="8"/>
        <v>15084049</v>
      </c>
      <c r="H258" s="41">
        <f t="shared" si="8"/>
        <v>4273623.8</v>
      </c>
      <c r="I258" s="41">
        <f t="shared" si="8"/>
        <v>1654472.0899999999</v>
      </c>
      <c r="J258" s="41">
        <f t="shared" si="8"/>
        <v>283045.26</v>
      </c>
      <c r="K258" s="41">
        <f t="shared" si="8"/>
        <v>90501.67</v>
      </c>
      <c r="L258" s="41">
        <f t="shared" si="8"/>
        <v>48245092.530000001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178388+8152.32</f>
        <v>186540.32</v>
      </c>
      <c r="L264" s="19">
        <f>SUM(F264:K264)</f>
        <v>186540.32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f>348266+1196110+20000</f>
        <v>1564376</v>
      </c>
      <c r="L265" s="19">
        <f t="shared" ref="L265:L271" si="9">SUM(F265:K265)</f>
        <v>1564376</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1750916.32</v>
      </c>
      <c r="L271" s="41">
        <f t="shared" si="9"/>
        <v>1750916.32</v>
      </c>
      <c r="M271" s="8"/>
      <c r="N271" s="266"/>
    </row>
    <row r="272" spans="1:14" s="34" customFormat="1" ht="12.2" customHeight="1" thickTop="1" x14ac:dyDescent="0.2">
      <c r="A272" s="43" t="s">
        <v>464</v>
      </c>
      <c r="B272" s="40">
        <v>10</v>
      </c>
      <c r="C272" s="40">
        <v>18</v>
      </c>
      <c r="D272" s="39" t="s">
        <v>431</v>
      </c>
      <c r="E272" s="40"/>
      <c r="F272" s="42">
        <f t="shared" ref="F272:L272" si="11">F258+F271</f>
        <v>26859400.710000001</v>
      </c>
      <c r="G272" s="42">
        <f t="shared" si="11"/>
        <v>15084049</v>
      </c>
      <c r="H272" s="42">
        <f t="shared" si="11"/>
        <v>4273623.8</v>
      </c>
      <c r="I272" s="42">
        <f t="shared" si="11"/>
        <v>1654472.0899999999</v>
      </c>
      <c r="J272" s="42">
        <f t="shared" si="11"/>
        <v>283045.26</v>
      </c>
      <c r="K272" s="42">
        <f t="shared" si="11"/>
        <v>1841417.99</v>
      </c>
      <c r="L272" s="42">
        <f t="shared" si="11"/>
        <v>49996008.850000001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250320.56</v>
      </c>
      <c r="G277" s="18">
        <v>60677.32</v>
      </c>
      <c r="H277" s="18">
        <v>11738.96</v>
      </c>
      <c r="I277" s="18">
        <v>7448.25</v>
      </c>
      <c r="J277" s="18">
        <v>26775</v>
      </c>
      <c r="K277" s="18">
        <v>93.75</v>
      </c>
      <c r="L277" s="19">
        <f>SUM(F277:K277)</f>
        <v>357053.84</v>
      </c>
      <c r="M277" s="8"/>
      <c r="N277" s="266"/>
    </row>
    <row r="278" spans="1:14" s="3" customFormat="1" ht="12.2" customHeight="1" x14ac:dyDescent="0.15">
      <c r="A278" s="1" t="s">
        <v>439</v>
      </c>
      <c r="B278" s="2" t="s">
        <v>357</v>
      </c>
      <c r="C278" s="2" t="s">
        <v>291</v>
      </c>
      <c r="D278" s="2" t="s">
        <v>431</v>
      </c>
      <c r="E278" s="6">
        <v>1200</v>
      </c>
      <c r="F278" s="18">
        <v>608079.75</v>
      </c>
      <c r="G278" s="18">
        <v>77768.55</v>
      </c>
      <c r="H278" s="18">
        <v>92768.27</v>
      </c>
      <c r="I278" s="18">
        <v>12002.85</v>
      </c>
      <c r="J278" s="18">
        <v>1212.24</v>
      </c>
      <c r="K278" s="18"/>
      <c r="L278" s="19">
        <f>SUM(F278:K278)</f>
        <v>791831.66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21360</v>
      </c>
      <c r="G280" s="18">
        <v>3996.86</v>
      </c>
      <c r="H280" s="18">
        <v>53366.92</v>
      </c>
      <c r="I280" s="18">
        <v>11453.9</v>
      </c>
      <c r="J280" s="18"/>
      <c r="K280" s="18">
        <v>1926.12</v>
      </c>
      <c r="L280" s="19">
        <f>SUM(F280:K280)</f>
        <v>92103.799999999988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v>68.09</v>
      </c>
      <c r="J282" s="18"/>
      <c r="K282" s="18">
        <v>375</v>
      </c>
      <c r="L282" s="19">
        <f t="shared" ref="L282:L288" si="12">SUM(F282:K282)</f>
        <v>443.09000000000003</v>
      </c>
      <c r="M282" s="8"/>
      <c r="N282" s="266"/>
    </row>
    <row r="283" spans="1:14" s="3" customFormat="1" ht="12.2" customHeight="1" x14ac:dyDescent="0.15">
      <c r="A283" s="1" t="s">
        <v>443</v>
      </c>
      <c r="B283" s="2" t="s">
        <v>357</v>
      </c>
      <c r="C283" s="2" t="s">
        <v>295</v>
      </c>
      <c r="D283" s="2" t="s">
        <v>431</v>
      </c>
      <c r="E283" s="6">
        <v>2200</v>
      </c>
      <c r="F283" s="18"/>
      <c r="G283" s="18"/>
      <c r="H283" s="18">
        <v>51595.48</v>
      </c>
      <c r="I283" s="18"/>
      <c r="J283" s="18"/>
      <c r="K283" s="18"/>
      <c r="L283" s="19">
        <f t="shared" si="12"/>
        <v>51595.48</v>
      </c>
      <c r="M283" s="8"/>
      <c r="N283" s="266"/>
    </row>
    <row r="284" spans="1:14" s="3" customFormat="1" ht="12.2" customHeight="1" x14ac:dyDescent="0.15">
      <c r="A284" s="1" t="s">
        <v>444</v>
      </c>
      <c r="B284" s="2" t="s">
        <v>357</v>
      </c>
      <c r="C284" s="2" t="s">
        <v>296</v>
      </c>
      <c r="D284" s="2" t="s">
        <v>431</v>
      </c>
      <c r="E284" s="6">
        <v>2300</v>
      </c>
      <c r="F284" s="18">
        <v>19669.14</v>
      </c>
      <c r="G284" s="18">
        <v>3603.07</v>
      </c>
      <c r="H284" s="18"/>
      <c r="I284" s="18"/>
      <c r="J284" s="18"/>
      <c r="K284" s="18"/>
      <c r="L284" s="19">
        <f t="shared" si="12"/>
        <v>23272.21</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341.52</v>
      </c>
      <c r="I287" s="18"/>
      <c r="J287" s="18"/>
      <c r="K287" s="18"/>
      <c r="L287" s="19">
        <f t="shared" si="12"/>
        <v>341.52</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899429.45000000007</v>
      </c>
      <c r="G291" s="42">
        <f t="shared" si="13"/>
        <v>146045.79999999999</v>
      </c>
      <c r="H291" s="42">
        <f t="shared" si="13"/>
        <v>209811.15000000002</v>
      </c>
      <c r="I291" s="42">
        <f t="shared" si="13"/>
        <v>30973.09</v>
      </c>
      <c r="J291" s="42">
        <f t="shared" si="13"/>
        <v>27987.24</v>
      </c>
      <c r="K291" s="42">
        <f t="shared" si="13"/>
        <v>2394.87</v>
      </c>
      <c r="L291" s="41">
        <f t="shared" si="13"/>
        <v>1316641.6000000001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1350</v>
      </c>
      <c r="G296" s="18">
        <v>344.95</v>
      </c>
      <c r="H296" s="18">
        <v>18675.349999999999</v>
      </c>
      <c r="I296" s="18">
        <v>1174.5</v>
      </c>
      <c r="J296" s="18">
        <v>13851.6</v>
      </c>
      <c r="K296" s="18">
        <v>48.5</v>
      </c>
      <c r="L296" s="19">
        <f>SUM(F296:K296)</f>
        <v>35444.9</v>
      </c>
      <c r="M296" s="8"/>
      <c r="N296" s="266"/>
    </row>
    <row r="297" spans="1:14" s="3" customFormat="1" ht="12.2" customHeight="1" x14ac:dyDescent="0.15">
      <c r="A297" s="1" t="s">
        <v>439</v>
      </c>
      <c r="B297" s="2" t="s">
        <v>358</v>
      </c>
      <c r="C297" s="2" t="s">
        <v>291</v>
      </c>
      <c r="D297" s="2" t="s">
        <v>431</v>
      </c>
      <c r="E297" s="6">
        <v>1200</v>
      </c>
      <c r="F297" s="18">
        <v>560291</v>
      </c>
      <c r="G297" s="18">
        <v>102182.61</v>
      </c>
      <c r="H297" s="18">
        <v>3010.88</v>
      </c>
      <c r="I297" s="18">
        <v>3592.62</v>
      </c>
      <c r="J297" s="18">
        <v>224.65</v>
      </c>
      <c r="K297" s="18"/>
      <c r="L297" s="19">
        <f>SUM(F297:K297)</f>
        <v>669301.76000000001</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9705.0400000000009</v>
      </c>
      <c r="G299" s="18">
        <v>3292.9</v>
      </c>
      <c r="H299" s="18">
        <v>3659.05</v>
      </c>
      <c r="I299" s="18">
        <v>4751.42</v>
      </c>
      <c r="J299" s="18">
        <v>4488.04</v>
      </c>
      <c r="K299" s="18">
        <v>6072.41</v>
      </c>
      <c r="L299" s="19">
        <f>SUM(F299:K299)</f>
        <v>31968.860000000004</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v>35.229999999999997</v>
      </c>
      <c r="J301" s="18"/>
      <c r="K301" s="18">
        <v>194</v>
      </c>
      <c r="L301" s="19">
        <f t="shared" ref="L301:L307" si="14">SUM(F301:K301)</f>
        <v>229.23</v>
      </c>
      <c r="M301" s="8"/>
      <c r="N301" s="266"/>
    </row>
    <row r="302" spans="1:14" s="3" customFormat="1" ht="12.2" customHeight="1" x14ac:dyDescent="0.15">
      <c r="A302" s="1" t="s">
        <v>443</v>
      </c>
      <c r="B302" s="2" t="s">
        <v>358</v>
      </c>
      <c r="C302" s="2" t="s">
        <v>295</v>
      </c>
      <c r="D302" s="2" t="s">
        <v>431</v>
      </c>
      <c r="E302" s="6">
        <v>2200</v>
      </c>
      <c r="F302" s="18"/>
      <c r="G302" s="18"/>
      <c r="H302" s="18">
        <v>8457.44</v>
      </c>
      <c r="I302" s="18"/>
      <c r="J302" s="18"/>
      <c r="K302" s="18"/>
      <c r="L302" s="19">
        <f t="shared" si="14"/>
        <v>8457.44</v>
      </c>
      <c r="M302" s="8"/>
      <c r="N302" s="266"/>
    </row>
    <row r="303" spans="1:14" s="3" customFormat="1" ht="12.2" customHeight="1" x14ac:dyDescent="0.15">
      <c r="A303" s="1" t="s">
        <v>444</v>
      </c>
      <c r="B303" s="2" t="s">
        <v>358</v>
      </c>
      <c r="C303" s="2" t="s">
        <v>296</v>
      </c>
      <c r="D303" s="2" t="s">
        <v>431</v>
      </c>
      <c r="E303" s="6">
        <v>2300</v>
      </c>
      <c r="F303" s="18">
        <v>10175.5</v>
      </c>
      <c r="G303" s="18">
        <v>1863.99</v>
      </c>
      <c r="H303" s="18"/>
      <c r="I303" s="18"/>
      <c r="J303" s="18"/>
      <c r="K303" s="18"/>
      <c r="L303" s="19">
        <f t="shared" si="14"/>
        <v>12039.49</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v>176.68</v>
      </c>
      <c r="I306" s="18"/>
      <c r="J306" s="18">
        <v>48144.75</v>
      </c>
      <c r="K306" s="18"/>
      <c r="L306" s="19">
        <f t="shared" si="14"/>
        <v>48321.43</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581521.54</v>
      </c>
      <c r="G310" s="42">
        <f t="shared" si="15"/>
        <v>107684.45</v>
      </c>
      <c r="H310" s="42">
        <f t="shared" si="15"/>
        <v>33979.4</v>
      </c>
      <c r="I310" s="42">
        <f t="shared" si="15"/>
        <v>9553.77</v>
      </c>
      <c r="J310" s="42">
        <f t="shared" si="15"/>
        <v>66709.040000000008</v>
      </c>
      <c r="K310" s="42">
        <f t="shared" si="15"/>
        <v>6314.91</v>
      </c>
      <c r="L310" s="41">
        <f t="shared" si="15"/>
        <v>805763.11</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2250</v>
      </c>
      <c r="G315" s="18">
        <v>576</v>
      </c>
      <c r="H315" s="18">
        <v>16294.73</v>
      </c>
      <c r="I315" s="18">
        <v>3179.17</v>
      </c>
      <c r="J315" s="18">
        <v>30773.4</v>
      </c>
      <c r="K315" s="18">
        <v>107.75</v>
      </c>
      <c r="L315" s="19">
        <f>SUM(F315:K315)</f>
        <v>53181.05</v>
      </c>
      <c r="M315" s="8"/>
      <c r="N315" s="266"/>
    </row>
    <row r="316" spans="1:14" s="3" customFormat="1" ht="12.2" customHeight="1" x14ac:dyDescent="0.15">
      <c r="A316" s="1" t="s">
        <v>439</v>
      </c>
      <c r="B316" s="2" t="s">
        <v>359</v>
      </c>
      <c r="C316" s="2" t="s">
        <v>291</v>
      </c>
      <c r="D316" s="2" t="s">
        <v>431</v>
      </c>
      <c r="E316" s="6">
        <v>1200</v>
      </c>
      <c r="F316" s="18">
        <v>1323674.78</v>
      </c>
      <c r="G316" s="18">
        <v>278665.87</v>
      </c>
      <c r="H316" s="18">
        <v>23802.05</v>
      </c>
      <c r="I316" s="18">
        <v>22106.48</v>
      </c>
      <c r="J316" s="18">
        <v>4730.34</v>
      </c>
      <c r="K316" s="18">
        <v>1807.25</v>
      </c>
      <c r="L316" s="19">
        <f>SUM(F316:K316)</f>
        <v>1654786.77</v>
      </c>
      <c r="M316" s="8"/>
      <c r="N316" s="266"/>
    </row>
    <row r="317" spans="1:14" s="3" customFormat="1" ht="12.2" customHeight="1" x14ac:dyDescent="0.15">
      <c r="A317" s="1" t="s">
        <v>440</v>
      </c>
      <c r="B317" s="2" t="s">
        <v>359</v>
      </c>
      <c r="C317" s="2" t="s">
        <v>292</v>
      </c>
      <c r="D317" s="2" t="s">
        <v>431</v>
      </c>
      <c r="E317" s="6">
        <v>1300</v>
      </c>
      <c r="F317" s="18">
        <v>30671.98</v>
      </c>
      <c r="G317" s="18">
        <v>4577.92</v>
      </c>
      <c r="H317" s="18">
        <v>4646.22</v>
      </c>
      <c r="I317" s="18">
        <v>22820.16</v>
      </c>
      <c r="J317" s="18">
        <v>15796.86</v>
      </c>
      <c r="K317" s="18">
        <v>2700</v>
      </c>
      <c r="L317" s="19">
        <f>SUM(F317:K317)</f>
        <v>81213.14</v>
      </c>
      <c r="M317" s="8"/>
      <c r="N317" s="266"/>
    </row>
    <row r="318" spans="1:14" s="3" customFormat="1" ht="12.2" customHeight="1" x14ac:dyDescent="0.15">
      <c r="A318" s="1" t="s">
        <v>441</v>
      </c>
      <c r="B318" s="2" t="s">
        <v>359</v>
      </c>
      <c r="C318" s="2" t="s">
        <v>293</v>
      </c>
      <c r="D318" s="2" t="s">
        <v>431</v>
      </c>
      <c r="E318" s="6">
        <v>1400</v>
      </c>
      <c r="F318" s="18">
        <v>38099.360000000001</v>
      </c>
      <c r="G318" s="18">
        <v>7610.19</v>
      </c>
      <c r="H318" s="18">
        <v>9619.82</v>
      </c>
      <c r="I318" s="18">
        <v>16311.04</v>
      </c>
      <c r="J318" s="18">
        <v>74.930000000000007</v>
      </c>
      <c r="K318" s="18">
        <v>16902.830000000002</v>
      </c>
      <c r="L318" s="19">
        <f>SUM(F318:K318)</f>
        <v>88618.17</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45069.96</v>
      </c>
      <c r="G320" s="18">
        <v>11375.3</v>
      </c>
      <c r="H320" s="18">
        <v>3693.93</v>
      </c>
      <c r="I320" s="18">
        <v>78.260000000000005</v>
      </c>
      <c r="J320" s="18"/>
      <c r="K320" s="18">
        <v>631</v>
      </c>
      <c r="L320" s="19">
        <f t="shared" ref="L320:L326" si="16">SUM(F320:K320)</f>
        <v>60848.45</v>
      </c>
      <c r="M320" s="8"/>
      <c r="N320" s="266"/>
    </row>
    <row r="321" spans="1:14" s="3" customFormat="1" ht="12.2" customHeight="1" x14ac:dyDescent="0.15">
      <c r="A321" s="1" t="s">
        <v>443</v>
      </c>
      <c r="B321" s="2" t="s">
        <v>359</v>
      </c>
      <c r="C321" s="2" t="s">
        <v>295</v>
      </c>
      <c r="D321" s="2" t="s">
        <v>431</v>
      </c>
      <c r="E321" s="6">
        <v>2200</v>
      </c>
      <c r="F321" s="18"/>
      <c r="G321" s="18"/>
      <c r="H321" s="18">
        <v>9256.61</v>
      </c>
      <c r="I321" s="18"/>
      <c r="J321" s="18"/>
      <c r="K321" s="18">
        <v>3332.95</v>
      </c>
      <c r="L321" s="19">
        <f t="shared" si="16"/>
        <v>12589.560000000001</v>
      </c>
      <c r="M321" s="8"/>
      <c r="N321" s="266"/>
    </row>
    <row r="322" spans="1:14" s="3" customFormat="1" ht="12.2" customHeight="1" x14ac:dyDescent="0.15">
      <c r="A322" s="1" t="s">
        <v>444</v>
      </c>
      <c r="B322" s="2" t="s">
        <v>359</v>
      </c>
      <c r="C322" s="2" t="s">
        <v>296</v>
      </c>
      <c r="D322" s="2" t="s">
        <v>431</v>
      </c>
      <c r="E322" s="6">
        <v>2300</v>
      </c>
      <c r="F322" s="18">
        <v>115261.44</v>
      </c>
      <c r="G322" s="18">
        <v>21289.29</v>
      </c>
      <c r="H322" s="18"/>
      <c r="I322" s="18"/>
      <c r="J322" s="18"/>
      <c r="K322" s="18"/>
      <c r="L322" s="19">
        <f t="shared" si="16"/>
        <v>136550.73000000001</v>
      </c>
      <c r="M322" s="8"/>
      <c r="N322" s="266"/>
    </row>
    <row r="323" spans="1:14" s="3" customFormat="1" ht="12.2" customHeight="1" x14ac:dyDescent="0.15">
      <c r="A323" s="1" t="s">
        <v>445</v>
      </c>
      <c r="B323" s="2" t="s">
        <v>359</v>
      </c>
      <c r="C323" s="2" t="s">
        <v>297</v>
      </c>
      <c r="D323" s="2" t="s">
        <v>431</v>
      </c>
      <c r="E323" s="6">
        <v>2400</v>
      </c>
      <c r="F323" s="18">
        <v>108541.9</v>
      </c>
      <c r="G323" s="18">
        <v>27586.5</v>
      </c>
      <c r="H323" s="18"/>
      <c r="I323" s="18"/>
      <c r="J323" s="18"/>
      <c r="K323" s="18"/>
      <c r="L323" s="19">
        <f t="shared" si="16"/>
        <v>136128.4</v>
      </c>
      <c r="M323" s="8"/>
      <c r="N323" s="266"/>
    </row>
    <row r="324" spans="1:14" s="3" customFormat="1" ht="12.2" customHeight="1" x14ac:dyDescent="0.15">
      <c r="A324" s="1" t="s">
        <v>446</v>
      </c>
      <c r="B324" s="2" t="s">
        <v>359</v>
      </c>
      <c r="C324" s="2" t="s">
        <v>298</v>
      </c>
      <c r="D324" s="2" t="s">
        <v>431</v>
      </c>
      <c r="E324" s="6">
        <v>2500</v>
      </c>
      <c r="F324" s="18"/>
      <c r="G324" s="18"/>
      <c r="H324" s="18">
        <v>885.03</v>
      </c>
      <c r="I324" s="18"/>
      <c r="J324" s="18"/>
      <c r="K324" s="18"/>
      <c r="L324" s="19">
        <f t="shared" si="16"/>
        <v>885.03</v>
      </c>
      <c r="M324" s="8"/>
      <c r="N324" s="266"/>
    </row>
    <row r="325" spans="1:14" s="3" customFormat="1" ht="12.2" customHeight="1" x14ac:dyDescent="0.15">
      <c r="A325" s="1" t="s">
        <v>447</v>
      </c>
      <c r="B325" s="2" t="s">
        <v>359</v>
      </c>
      <c r="C325" s="2" t="s">
        <v>299</v>
      </c>
      <c r="D325" s="2" t="s">
        <v>431</v>
      </c>
      <c r="E325" s="6">
        <v>2600</v>
      </c>
      <c r="F325" s="18">
        <v>13845.32</v>
      </c>
      <c r="G325" s="18">
        <v>2564.25</v>
      </c>
      <c r="H325" s="18">
        <v>3551.87</v>
      </c>
      <c r="I325" s="18">
        <v>27612.17</v>
      </c>
      <c r="J325" s="18">
        <v>40905</v>
      </c>
      <c r="K325" s="18"/>
      <c r="L325" s="19">
        <f t="shared" si="16"/>
        <v>88478.61</v>
      </c>
      <c r="M325" s="8"/>
      <c r="N325" s="266"/>
    </row>
    <row r="326" spans="1:14" s="3" customFormat="1" ht="12.2" customHeight="1" x14ac:dyDescent="0.15">
      <c r="A326" s="1" t="s">
        <v>448</v>
      </c>
      <c r="B326" s="2" t="s">
        <v>359</v>
      </c>
      <c r="C326" s="2" t="s">
        <v>300</v>
      </c>
      <c r="D326" s="2" t="s">
        <v>431</v>
      </c>
      <c r="E326" s="6">
        <v>2700</v>
      </c>
      <c r="F326" s="18"/>
      <c r="G326" s="18"/>
      <c r="H326" s="18">
        <v>38344.080000000002</v>
      </c>
      <c r="I326" s="18"/>
      <c r="J326" s="18"/>
      <c r="K326" s="18"/>
      <c r="L326" s="19">
        <f t="shared" si="16"/>
        <v>38344.080000000002</v>
      </c>
      <c r="M326" s="8"/>
      <c r="N326" s="266"/>
    </row>
    <row r="327" spans="1:14" s="3" customFormat="1" ht="12.2" customHeight="1" x14ac:dyDescent="0.15">
      <c r="A327" s="1" t="s">
        <v>449</v>
      </c>
      <c r="B327" s="2" t="s">
        <v>359</v>
      </c>
      <c r="C327" s="2" t="s">
        <v>343</v>
      </c>
      <c r="D327" s="2" t="s">
        <v>431</v>
      </c>
      <c r="E327" s="6">
        <v>2800</v>
      </c>
      <c r="F327" s="18"/>
      <c r="G327" s="18"/>
      <c r="H327" s="18">
        <v>2246.86</v>
      </c>
      <c r="I327" s="18"/>
      <c r="J327" s="18"/>
      <c r="K327" s="18"/>
      <c r="L327" s="19">
        <f>SUM(F327:K327)</f>
        <v>2246.86</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1677414.74</v>
      </c>
      <c r="G329" s="42">
        <f t="shared" si="17"/>
        <v>354245.31999999995</v>
      </c>
      <c r="H329" s="42">
        <f t="shared" si="17"/>
        <v>112341.2</v>
      </c>
      <c r="I329" s="42">
        <f t="shared" si="17"/>
        <v>92107.28</v>
      </c>
      <c r="J329" s="42">
        <f t="shared" si="17"/>
        <v>92280.53</v>
      </c>
      <c r="K329" s="42">
        <f t="shared" si="17"/>
        <v>25481.780000000002</v>
      </c>
      <c r="L329" s="41">
        <f t="shared" si="17"/>
        <v>2353870.8499999996</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3158365.7300000004</v>
      </c>
      <c r="G339" s="41">
        <f t="shared" si="20"/>
        <v>607975.56999999995</v>
      </c>
      <c r="H339" s="41">
        <f t="shared" si="20"/>
        <v>356131.75</v>
      </c>
      <c r="I339" s="41">
        <f t="shared" si="20"/>
        <v>132634.14000000001</v>
      </c>
      <c r="J339" s="41">
        <f t="shared" si="20"/>
        <v>186976.81</v>
      </c>
      <c r="K339" s="41">
        <f t="shared" si="20"/>
        <v>34191.56</v>
      </c>
      <c r="L339" s="41">
        <f t="shared" si="20"/>
        <v>4476275.5599999996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3158365.7300000004</v>
      </c>
      <c r="G353" s="41">
        <f>G339</f>
        <v>607975.56999999995</v>
      </c>
      <c r="H353" s="41">
        <f>H339</f>
        <v>356131.75</v>
      </c>
      <c r="I353" s="41">
        <f>I339</f>
        <v>132634.14000000001</v>
      </c>
      <c r="J353" s="41">
        <f>J339</f>
        <v>186976.81</v>
      </c>
      <c r="K353" s="47">
        <f>K339+K352</f>
        <v>34191.56</v>
      </c>
      <c r="L353" s="41">
        <f>L339+L352</f>
        <v>4476275.5599999996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175437.15</v>
      </c>
      <c r="G359" s="18">
        <v>28950.71</v>
      </c>
      <c r="H359" s="18">
        <v>17496.28</v>
      </c>
      <c r="I359" s="18">
        <v>124708.87</v>
      </c>
      <c r="J359" s="18">
        <v>707.06</v>
      </c>
      <c r="K359" s="18">
        <v>548.78</v>
      </c>
      <c r="L359" s="13">
        <f>SUM(F359:K359)</f>
        <v>347848.85000000003</v>
      </c>
      <c r="M359" s="8"/>
      <c r="N359" s="266"/>
    </row>
    <row r="360" spans="1:22" s="3" customFormat="1" ht="12.2" customHeight="1" x14ac:dyDescent="0.15">
      <c r="A360" s="1" t="s">
        <v>542</v>
      </c>
      <c r="B360" s="2" t="s">
        <v>366</v>
      </c>
      <c r="C360" s="6">
        <v>2</v>
      </c>
      <c r="D360" s="2" t="s">
        <v>431</v>
      </c>
      <c r="E360" s="6"/>
      <c r="F360" s="18">
        <v>90590.67</v>
      </c>
      <c r="G360" s="18">
        <v>14026.36</v>
      </c>
      <c r="H360" s="18">
        <v>9051.41</v>
      </c>
      <c r="I360" s="18">
        <v>64516.06</v>
      </c>
      <c r="J360" s="18">
        <v>365.79</v>
      </c>
      <c r="K360" s="18">
        <v>283.89999999999998</v>
      </c>
      <c r="L360" s="19">
        <f>SUM(F360:K360)</f>
        <v>178834.19</v>
      </c>
      <c r="M360" s="8"/>
      <c r="N360" s="266"/>
    </row>
    <row r="361" spans="1:22" s="3" customFormat="1" ht="12.2" customHeight="1" x14ac:dyDescent="0.15">
      <c r="A361" s="3" t="s">
        <v>543</v>
      </c>
      <c r="B361" s="2" t="s">
        <v>366</v>
      </c>
      <c r="C361" s="6">
        <v>3</v>
      </c>
      <c r="D361" s="2" t="s">
        <v>431</v>
      </c>
      <c r="E361" s="6"/>
      <c r="F361" s="18">
        <v>178239.29</v>
      </c>
      <c r="G361" s="18">
        <v>25329.77</v>
      </c>
      <c r="H361" s="18">
        <v>20109.05</v>
      </c>
      <c r="I361" s="18">
        <v>143332.06</v>
      </c>
      <c r="J361" s="18">
        <v>812.65</v>
      </c>
      <c r="K361" s="18">
        <v>630.74</v>
      </c>
      <c r="L361" s="19">
        <f>SUM(F361:K361)</f>
        <v>368453.56</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444267.11</v>
      </c>
      <c r="G363" s="47">
        <f t="shared" si="22"/>
        <v>68306.84</v>
      </c>
      <c r="H363" s="47">
        <f t="shared" si="22"/>
        <v>46656.74</v>
      </c>
      <c r="I363" s="47">
        <f t="shared" si="22"/>
        <v>332556.99</v>
      </c>
      <c r="J363" s="47">
        <f t="shared" si="22"/>
        <v>1885.5</v>
      </c>
      <c r="K363" s="47">
        <f t="shared" si="22"/>
        <v>1463.42</v>
      </c>
      <c r="L363" s="47">
        <f t="shared" si="22"/>
        <v>895136.60000000009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102386.97</v>
      </c>
      <c r="G368" s="18">
        <v>52968.19</v>
      </c>
      <c r="H368" s="18">
        <v>117676.76</v>
      </c>
      <c r="I368" s="56">
        <f>SUM(F368:H368)</f>
        <v>273031.92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22321.9</v>
      </c>
      <c r="G369" s="63">
        <v>11547.86</v>
      </c>
      <c r="H369" s="63">
        <v>25655.31</v>
      </c>
      <c r="I369" s="56">
        <f>SUM(F369:H369)</f>
        <v>59525.070000000007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124708.87</v>
      </c>
      <c r="G370" s="47">
        <f>SUM(G368:G369)</f>
        <v>64516.05</v>
      </c>
      <c r="H370" s="47">
        <f>SUM(H368:H369)</f>
        <v>143332.07</v>
      </c>
      <c r="I370" s="47">
        <f>SUM(I368:I369)</f>
        <v>332556.99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0</v>
      </c>
      <c r="G466" s="18">
        <v>986.06</v>
      </c>
      <c r="H466" s="18">
        <v>390138.4</v>
      </c>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49996008.850000001</v>
      </c>
      <c r="G469" s="18">
        <v>896137.01</v>
      </c>
      <c r="H469" s="18">
        <v>4597514.7</v>
      </c>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49996008.850000001</v>
      </c>
      <c r="G471" s="53">
        <f>SUM(G469:G470)</f>
        <v>896137.01</v>
      </c>
      <c r="H471" s="53">
        <f>SUM(H469:H470)</f>
        <v>4597514.7</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50025755.32-29746.47</f>
        <v>49996008.850000001</v>
      </c>
      <c r="G473" s="18">
        <v>895136.6</v>
      </c>
      <c r="H473" s="18">
        <v>4476275.5599999996</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49996008.850000001</v>
      </c>
      <c r="G475" s="53">
        <f>SUM(G473:G474)</f>
        <v>895136.6</v>
      </c>
      <c r="H475" s="53">
        <f>SUM(H473:H474)</f>
        <v>4476275.5599999996</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0</v>
      </c>
      <c r="G477" s="53">
        <f>(G466+G471)- G475</f>
        <v>1986.4700000000885</v>
      </c>
      <c r="H477" s="53">
        <f>(H466+H471)- H475</f>
        <v>511377.54000000097</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2423643.16</v>
      </c>
      <c r="G522" s="18">
        <v>1005541.8300000001</v>
      </c>
      <c r="H522" s="18">
        <v>591482.1</v>
      </c>
      <c r="I522" s="18">
        <v>14805.84</v>
      </c>
      <c r="J522" s="18">
        <v>1212.24</v>
      </c>
      <c r="K522" s="18"/>
      <c r="L522" s="88">
        <f>SUM(F522:K522)</f>
        <v>4036685.1700000004</v>
      </c>
      <c r="N522" s="265"/>
    </row>
    <row r="523" spans="1:14" s="52" customFormat="1" ht="12.2" customHeight="1" x14ac:dyDescent="0.2">
      <c r="A523" s="22" t="s">
        <v>634</v>
      </c>
      <c r="B523" s="105">
        <v>21</v>
      </c>
      <c r="C523" s="115">
        <v>2</v>
      </c>
      <c r="D523" s="2" t="s">
        <v>432</v>
      </c>
      <c r="E523" s="115"/>
      <c r="F523" s="18">
        <v>1314971.3599999999</v>
      </c>
      <c r="G523" s="18">
        <v>522512.35</v>
      </c>
      <c r="H523" s="18">
        <v>481721.26</v>
      </c>
      <c r="I523" s="18">
        <v>7722.28</v>
      </c>
      <c r="J523" s="18">
        <v>484.54999999999995</v>
      </c>
      <c r="K523" s="18"/>
      <c r="L523" s="88">
        <f>SUM(F523:K523)</f>
        <v>2327411.7999999993</v>
      </c>
      <c r="N523" s="265"/>
    </row>
    <row r="524" spans="1:14" s="52" customFormat="1" ht="12.2" customHeight="1" thickBot="1" x14ac:dyDescent="0.25">
      <c r="A524" s="22" t="s">
        <v>635</v>
      </c>
      <c r="B524" s="105">
        <v>21</v>
      </c>
      <c r="C524" s="115">
        <v>3</v>
      </c>
      <c r="D524" s="2" t="s">
        <v>432</v>
      </c>
      <c r="E524" s="115"/>
      <c r="F524" s="18">
        <v>1808942.44</v>
      </c>
      <c r="G524" s="18">
        <v>534227.15</v>
      </c>
      <c r="H524" s="18">
        <v>364985.93</v>
      </c>
      <c r="I524" s="18">
        <v>24763.610000000004</v>
      </c>
      <c r="J524" s="18">
        <v>4947.7700000000004</v>
      </c>
      <c r="K524" s="18">
        <v>1807.25</v>
      </c>
      <c r="L524" s="88">
        <f>SUM(F524:K524)</f>
        <v>2739674.15</v>
      </c>
      <c r="N524" s="265"/>
    </row>
    <row r="525" spans="1:14" s="52" customFormat="1" ht="12.2" customHeight="1" thickTop="1" x14ac:dyDescent="0.2">
      <c r="A525" s="139" t="s">
        <v>63</v>
      </c>
      <c r="B525" s="107">
        <v>21</v>
      </c>
      <c r="C525" s="195">
        <v>4</v>
      </c>
      <c r="D525" s="196" t="s">
        <v>432</v>
      </c>
      <c r="E525" s="195"/>
      <c r="F525" s="108">
        <f>SUM(F522:F524)</f>
        <v>5547556.96</v>
      </c>
      <c r="G525" s="108">
        <f t="shared" ref="G525:L525" si="36">SUM(G522:G524)</f>
        <v>2062281.33</v>
      </c>
      <c r="H525" s="108">
        <f t="shared" si="36"/>
        <v>1438189.2899999998</v>
      </c>
      <c r="I525" s="108">
        <f t="shared" si="36"/>
        <v>47291.73</v>
      </c>
      <c r="J525" s="108">
        <f t="shared" si="36"/>
        <v>6644.56</v>
      </c>
      <c r="K525" s="108">
        <f t="shared" si="36"/>
        <v>1807.25</v>
      </c>
      <c r="L525" s="89">
        <f t="shared" si="36"/>
        <v>9103771.1199999992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637261.02</v>
      </c>
      <c r="G527" s="18">
        <v>152967.16</v>
      </c>
      <c r="H527" s="18">
        <v>80599.679999999993</v>
      </c>
      <c r="I527" s="18">
        <v>1402.32</v>
      </c>
      <c r="J527" s="18"/>
      <c r="K527" s="18"/>
      <c r="L527" s="88">
        <f>SUM(F527:K527)</f>
        <v>872230.18</v>
      </c>
      <c r="M527" s="8"/>
      <c r="N527" s="266"/>
    </row>
    <row r="528" spans="1:14" s="3" customFormat="1" ht="12.2" customHeight="1" x14ac:dyDescent="0.15">
      <c r="A528" s="22" t="s">
        <v>634</v>
      </c>
      <c r="B528" s="105">
        <v>21</v>
      </c>
      <c r="C528" s="115">
        <v>6</v>
      </c>
      <c r="D528" s="2" t="s">
        <v>432</v>
      </c>
      <c r="E528" s="115"/>
      <c r="F528" s="18">
        <v>146868.07999999999</v>
      </c>
      <c r="G528" s="18">
        <v>36532.03</v>
      </c>
      <c r="H528" s="18">
        <v>17543.98</v>
      </c>
      <c r="I528" s="18">
        <v>725.46</v>
      </c>
      <c r="J528" s="18"/>
      <c r="K528" s="18"/>
      <c r="L528" s="88">
        <f>SUM(F528:K528)</f>
        <v>201669.55</v>
      </c>
      <c r="M528" s="8"/>
      <c r="N528" s="266"/>
    </row>
    <row r="529" spans="1:14" s="3" customFormat="1" ht="12.2" customHeight="1" thickBot="1" x14ac:dyDescent="0.2">
      <c r="A529" s="22" t="s">
        <v>635</v>
      </c>
      <c r="B529" s="118">
        <v>21</v>
      </c>
      <c r="C529" s="118">
        <v>7</v>
      </c>
      <c r="D529" s="2" t="s">
        <v>432</v>
      </c>
      <c r="E529" s="118"/>
      <c r="F529" s="18">
        <v>198013.03999999998</v>
      </c>
      <c r="G529" s="18">
        <v>49434.19</v>
      </c>
      <c r="H529" s="18">
        <v>5076.83</v>
      </c>
      <c r="I529" s="18">
        <v>1611.73</v>
      </c>
      <c r="J529" s="18"/>
      <c r="K529" s="18"/>
      <c r="L529" s="88">
        <f>SUM(F529:K529)</f>
        <v>254135.78999999998</v>
      </c>
      <c r="M529" s="8"/>
      <c r="N529" s="266"/>
    </row>
    <row r="530" spans="1:14" s="3" customFormat="1" ht="12.2" customHeight="1" thickTop="1" x14ac:dyDescent="0.15">
      <c r="A530" s="139" t="s">
        <v>65</v>
      </c>
      <c r="B530" s="107">
        <v>21</v>
      </c>
      <c r="C530" s="107">
        <v>8</v>
      </c>
      <c r="D530" s="158" t="s">
        <v>432</v>
      </c>
      <c r="E530" s="107"/>
      <c r="F530" s="89">
        <f>SUM(F527:F529)</f>
        <v>982142.1399999999</v>
      </c>
      <c r="G530" s="89">
        <f t="shared" ref="G530:L530" si="37">SUM(G527:G529)</f>
        <v>238933.38</v>
      </c>
      <c r="H530" s="89">
        <f t="shared" si="37"/>
        <v>103220.48999999999</v>
      </c>
      <c r="I530" s="89">
        <f t="shared" si="37"/>
        <v>3739.5099999999998</v>
      </c>
      <c r="J530" s="89">
        <f t="shared" si="37"/>
        <v>0</v>
      </c>
      <c r="K530" s="89">
        <f t="shared" si="37"/>
        <v>0</v>
      </c>
      <c r="L530" s="89">
        <f t="shared" si="37"/>
        <v>1328035.52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148852.96000000002</v>
      </c>
      <c r="G532" s="18">
        <v>42313.42</v>
      </c>
      <c r="H532" s="18">
        <v>170.89</v>
      </c>
      <c r="I532" s="18">
        <v>284.85000000000002</v>
      </c>
      <c r="J532" s="18"/>
      <c r="K532" s="18"/>
      <c r="L532" s="88">
        <f>SUM(F532:K532)</f>
        <v>191622.12000000002</v>
      </c>
      <c r="M532" s="8"/>
      <c r="N532" s="266"/>
    </row>
    <row r="533" spans="1:14" s="3" customFormat="1" ht="12.2" customHeight="1" x14ac:dyDescent="0.15">
      <c r="A533" s="22" t="s">
        <v>634</v>
      </c>
      <c r="B533" s="105">
        <v>21</v>
      </c>
      <c r="C533" s="105">
        <v>10</v>
      </c>
      <c r="D533" s="2" t="s">
        <v>432</v>
      </c>
      <c r="E533" s="105"/>
      <c r="F533" s="18">
        <v>95079.03</v>
      </c>
      <c r="G533" s="18">
        <v>26423.989999999998</v>
      </c>
      <c r="H533" s="18">
        <v>624.08000000000004</v>
      </c>
      <c r="I533" s="18">
        <v>147.36000000000001</v>
      </c>
      <c r="J533" s="18"/>
      <c r="K533" s="18"/>
      <c r="L533" s="88">
        <f>SUM(F533:K533)</f>
        <v>122274.45999999999</v>
      </c>
      <c r="M533" s="8"/>
      <c r="N533" s="266"/>
    </row>
    <row r="534" spans="1:14" s="3" customFormat="1" ht="12.2" customHeight="1" thickBot="1" x14ac:dyDescent="0.2">
      <c r="A534" s="22" t="s">
        <v>635</v>
      </c>
      <c r="B534" s="105">
        <v>21</v>
      </c>
      <c r="C534" s="105">
        <v>11</v>
      </c>
      <c r="D534" s="2" t="s">
        <v>432</v>
      </c>
      <c r="E534" s="105"/>
      <c r="F534" s="18">
        <v>270826.44</v>
      </c>
      <c r="G534" s="18">
        <v>101408.18</v>
      </c>
      <c r="H534" s="18">
        <v>437.65</v>
      </c>
      <c r="I534" s="18">
        <v>327.39</v>
      </c>
      <c r="J534" s="18"/>
      <c r="K534" s="18"/>
      <c r="L534" s="88">
        <f>SUM(F534:K534)</f>
        <v>372999.66000000003</v>
      </c>
      <c r="M534" s="8"/>
      <c r="N534" s="266"/>
    </row>
    <row r="535" spans="1:14" s="3" customFormat="1" ht="12.2" customHeight="1" thickTop="1" x14ac:dyDescent="0.15">
      <c r="A535" s="139" t="s">
        <v>67</v>
      </c>
      <c r="B535" s="107">
        <v>21</v>
      </c>
      <c r="C535" s="107">
        <v>12</v>
      </c>
      <c r="D535" s="158" t="s">
        <v>432</v>
      </c>
      <c r="E535" s="107"/>
      <c r="F535" s="89">
        <f>SUM(F532:F534)</f>
        <v>514758.43000000005</v>
      </c>
      <c r="G535" s="89">
        <f t="shared" ref="G535:L535" si="38">SUM(G532:G534)</f>
        <v>170145.59</v>
      </c>
      <c r="H535" s="89">
        <f t="shared" si="38"/>
        <v>1232.6199999999999</v>
      </c>
      <c r="I535" s="89">
        <f t="shared" si="38"/>
        <v>759.6</v>
      </c>
      <c r="J535" s="89">
        <f t="shared" si="38"/>
        <v>0</v>
      </c>
      <c r="K535" s="89">
        <f t="shared" si="38"/>
        <v>0</v>
      </c>
      <c r="L535" s="89">
        <f t="shared" si="38"/>
        <v>686896.24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30950.94</v>
      </c>
      <c r="I537" s="18"/>
      <c r="J537" s="18"/>
      <c r="K537" s="18"/>
      <c r="L537" s="88">
        <f>SUM(F537:K537)</f>
        <v>30950.94</v>
      </c>
      <c r="M537" s="8"/>
      <c r="N537" s="266"/>
    </row>
    <row r="538" spans="1:14" s="3" customFormat="1" ht="12.2" customHeight="1" x14ac:dyDescent="0.15">
      <c r="A538" s="22" t="s">
        <v>634</v>
      </c>
      <c r="B538" s="105">
        <v>21</v>
      </c>
      <c r="C538" s="105">
        <v>14</v>
      </c>
      <c r="D538" s="2" t="s">
        <v>432</v>
      </c>
      <c r="E538" s="105"/>
      <c r="F538" s="18"/>
      <c r="G538" s="18"/>
      <c r="H538" s="18">
        <v>16011.95</v>
      </c>
      <c r="I538" s="18"/>
      <c r="J538" s="18"/>
      <c r="K538" s="18"/>
      <c r="L538" s="88">
        <f>SUM(F538:K538)</f>
        <v>16011.95</v>
      </c>
      <c r="M538" s="8"/>
      <c r="N538" s="266"/>
    </row>
    <row r="539" spans="1:14" s="3" customFormat="1" ht="12.2" customHeight="1" thickBot="1" x14ac:dyDescent="0.2">
      <c r="A539" s="22" t="s">
        <v>635</v>
      </c>
      <c r="B539" s="105">
        <v>21</v>
      </c>
      <c r="C539" s="105">
        <v>15</v>
      </c>
      <c r="D539" s="2" t="s">
        <v>432</v>
      </c>
      <c r="E539" s="105"/>
      <c r="F539" s="18"/>
      <c r="G539" s="18"/>
      <c r="H539" s="18">
        <v>35572.94</v>
      </c>
      <c r="I539" s="18"/>
      <c r="J539" s="18"/>
      <c r="K539" s="18"/>
      <c r="L539" s="88">
        <f>SUM(F539:K539)</f>
        <v>35572.94</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82535.83</v>
      </c>
      <c r="I540" s="89">
        <f t="shared" si="39"/>
        <v>0</v>
      </c>
      <c r="J540" s="89">
        <f t="shared" si="39"/>
        <v>0</v>
      </c>
      <c r="K540" s="89">
        <f t="shared" si="39"/>
        <v>0</v>
      </c>
      <c r="L540" s="89">
        <f t="shared" si="39"/>
        <v>82535.83</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108295.66</v>
      </c>
      <c r="I542" s="18"/>
      <c r="J542" s="18"/>
      <c r="K542" s="18"/>
      <c r="L542" s="88">
        <f>SUM(F542:K542)</f>
        <v>108295.66</v>
      </c>
      <c r="M542" s="8"/>
      <c r="N542" s="266"/>
    </row>
    <row r="543" spans="1:14" s="3" customFormat="1" ht="12.2" customHeight="1" x14ac:dyDescent="0.15">
      <c r="A543" s="22" t="s">
        <v>634</v>
      </c>
      <c r="B543" s="105">
        <v>21</v>
      </c>
      <c r="C543" s="105">
        <v>18</v>
      </c>
      <c r="D543" s="2" t="s">
        <v>432</v>
      </c>
      <c r="E543" s="105"/>
      <c r="F543" s="18"/>
      <c r="G543" s="18"/>
      <c r="H543" s="18">
        <v>89875.45</v>
      </c>
      <c r="I543" s="18"/>
      <c r="J543" s="18"/>
      <c r="K543" s="18"/>
      <c r="L543" s="88">
        <f>SUM(F543:K543)</f>
        <v>89875.45</v>
      </c>
      <c r="M543" s="8"/>
      <c r="N543" s="266"/>
    </row>
    <row r="544" spans="1:14" s="3" customFormat="1" ht="12.2" customHeight="1" thickBot="1" x14ac:dyDescent="0.2">
      <c r="A544" s="22" t="s">
        <v>635</v>
      </c>
      <c r="B544" s="105">
        <v>21</v>
      </c>
      <c r="C544" s="105">
        <v>19</v>
      </c>
      <c r="D544" s="2" t="s">
        <v>432</v>
      </c>
      <c r="E544" s="105"/>
      <c r="F544" s="18"/>
      <c r="G544" s="18"/>
      <c r="H544" s="18">
        <v>82009.179999999993</v>
      </c>
      <c r="I544" s="18"/>
      <c r="J544" s="18"/>
      <c r="K544" s="18"/>
      <c r="L544" s="88">
        <f>SUM(F544:K544)</f>
        <v>82009.179999999993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280180.28999999998</v>
      </c>
      <c r="I545" s="193">
        <f t="shared" si="40"/>
        <v>0</v>
      </c>
      <c r="J545" s="193">
        <f t="shared" si="40"/>
        <v>0</v>
      </c>
      <c r="K545" s="193">
        <f t="shared" si="40"/>
        <v>0</v>
      </c>
      <c r="L545" s="193">
        <f t="shared" si="40"/>
        <v>280180.28999999998</v>
      </c>
      <c r="M545" s="8"/>
      <c r="N545" s="266"/>
    </row>
    <row r="546" spans="1:14" s="3" customFormat="1" ht="12.2" customHeight="1" thickTop="1" x14ac:dyDescent="0.15">
      <c r="A546" s="98" t="s">
        <v>72</v>
      </c>
      <c r="B546" s="107">
        <v>21</v>
      </c>
      <c r="C546" s="107">
        <v>21</v>
      </c>
      <c r="D546" s="158" t="s">
        <v>432</v>
      </c>
      <c r="E546" s="107"/>
      <c r="F546" s="89">
        <f>F525+F530+F535+F540+F545</f>
        <v>7044457.5299999993</v>
      </c>
      <c r="G546" s="89">
        <f t="shared" ref="G546:L546" si="41">G525+G530+G535+G540+G545</f>
        <v>2471360.2999999998</v>
      </c>
      <c r="H546" s="89">
        <f t="shared" si="41"/>
        <v>1905358.52</v>
      </c>
      <c r="I546" s="89">
        <f t="shared" si="41"/>
        <v>51790.840000000004</v>
      </c>
      <c r="J546" s="89">
        <f t="shared" si="41"/>
        <v>6644.56</v>
      </c>
      <c r="K546" s="89">
        <f t="shared" si="41"/>
        <v>1807.25</v>
      </c>
      <c r="L546" s="89">
        <f t="shared" si="41"/>
        <v>11481418.999999998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4036685.1700000004</v>
      </c>
      <c r="G550" s="87">
        <f>L527</f>
        <v>872230.18</v>
      </c>
      <c r="H550" s="87">
        <f>L532</f>
        <v>191622.12000000002</v>
      </c>
      <c r="I550" s="87">
        <f>L537</f>
        <v>30950.94</v>
      </c>
      <c r="J550" s="87">
        <f>L542</f>
        <v>108295.66</v>
      </c>
      <c r="K550" s="87">
        <f>SUM(F550:J550)</f>
        <v>5239784.0700000012</v>
      </c>
      <c r="L550" s="24" t="s">
        <v>288</v>
      </c>
      <c r="M550" s="8"/>
      <c r="N550" s="266"/>
    </row>
    <row r="551" spans="1:14" s="3" customFormat="1" ht="12.2" customHeight="1" x14ac:dyDescent="0.15">
      <c r="A551" s="22" t="s">
        <v>634</v>
      </c>
      <c r="B551" s="75">
        <v>21</v>
      </c>
      <c r="C551" s="75">
        <v>23</v>
      </c>
      <c r="D551" s="2" t="s">
        <v>432</v>
      </c>
      <c r="E551" s="75"/>
      <c r="F551" s="87">
        <f>L523</f>
        <v>2327411.7999999993</v>
      </c>
      <c r="G551" s="87">
        <f>L528</f>
        <v>201669.55</v>
      </c>
      <c r="H551" s="87">
        <f>L533</f>
        <v>122274.45999999999</v>
      </c>
      <c r="I551" s="87">
        <f>L538</f>
        <v>16011.95</v>
      </c>
      <c r="J551" s="87">
        <f>L543</f>
        <v>89875.45</v>
      </c>
      <c r="K551" s="87">
        <f>SUM(F551:J551)</f>
        <v>2757243.2099999995</v>
      </c>
      <c r="L551" s="24" t="s">
        <v>288</v>
      </c>
      <c r="M551" s="8"/>
      <c r="N551" s="266"/>
    </row>
    <row r="552" spans="1:14" s="3" customFormat="1" ht="12.2" customHeight="1" thickBot="1" x14ac:dyDescent="0.2">
      <c r="A552" s="22" t="s">
        <v>635</v>
      </c>
      <c r="B552" s="75">
        <v>21</v>
      </c>
      <c r="C552" s="75">
        <v>24</v>
      </c>
      <c r="D552" s="2" t="s">
        <v>432</v>
      </c>
      <c r="E552" s="75"/>
      <c r="F552" s="87">
        <f>L524</f>
        <v>2739674.15</v>
      </c>
      <c r="G552" s="87">
        <f>L529</f>
        <v>254135.78999999998</v>
      </c>
      <c r="H552" s="87">
        <f>L534</f>
        <v>372999.66000000003</v>
      </c>
      <c r="I552" s="87">
        <f>L539</f>
        <v>35572.94</v>
      </c>
      <c r="J552" s="87">
        <f>L544</f>
        <v>82009.179999999993</v>
      </c>
      <c r="K552" s="87">
        <f>SUM(F552:J552)</f>
        <v>3484391.72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9103771.1199999992</v>
      </c>
      <c r="G553" s="89">
        <f t="shared" si="42"/>
        <v>1328035.52</v>
      </c>
      <c r="H553" s="89">
        <f t="shared" si="42"/>
        <v>686896.24</v>
      </c>
      <c r="I553" s="89">
        <f t="shared" si="42"/>
        <v>82535.83</v>
      </c>
      <c r="J553" s="89">
        <f t="shared" si="42"/>
        <v>280180.28999999998</v>
      </c>
      <c r="K553" s="89">
        <f t="shared" si="42"/>
        <v>11481419.000000002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109428.37000000001</v>
      </c>
      <c r="G563" s="18">
        <v>20768.189999999999</v>
      </c>
      <c r="H563" s="18"/>
      <c r="I563" s="18">
        <v>382.72</v>
      </c>
      <c r="J563" s="18"/>
      <c r="K563" s="18"/>
      <c r="L563" s="88">
        <f>SUM(F563:K563)</f>
        <v>130579.28000000001</v>
      </c>
      <c r="M563" s="8"/>
      <c r="N563" s="266"/>
    </row>
    <row r="564" spans="1:14" s="3" customFormat="1" ht="12.2" customHeight="1" x14ac:dyDescent="0.15">
      <c r="A564" s="22" t="s">
        <v>634</v>
      </c>
      <c r="B564" s="105">
        <v>22</v>
      </c>
      <c r="C564" s="115">
        <v>6</v>
      </c>
      <c r="D564" s="2" t="s">
        <v>432</v>
      </c>
      <c r="E564" s="115"/>
      <c r="F564" s="18">
        <v>93376.2</v>
      </c>
      <c r="G564" s="18">
        <v>21002.85</v>
      </c>
      <c r="H564" s="18"/>
      <c r="I564" s="18"/>
      <c r="J564" s="18"/>
      <c r="K564" s="18"/>
      <c r="L564" s="88">
        <f>SUM(F564:K564)</f>
        <v>114379.04999999999</v>
      </c>
      <c r="M564" s="8"/>
      <c r="N564" s="266"/>
    </row>
    <row r="565" spans="1:14" s="3" customFormat="1" ht="12.2" customHeight="1" thickBot="1" x14ac:dyDescent="0.2">
      <c r="A565" s="22" t="s">
        <v>635</v>
      </c>
      <c r="B565" s="105">
        <v>22</v>
      </c>
      <c r="C565" s="118">
        <v>7</v>
      </c>
      <c r="D565" s="2" t="s">
        <v>432</v>
      </c>
      <c r="E565" s="118"/>
      <c r="F565" s="18">
        <v>87021.33</v>
      </c>
      <c r="G565" s="18">
        <v>16317.27</v>
      </c>
      <c r="H565" s="18">
        <v>1280</v>
      </c>
      <c r="I565" s="18">
        <v>549.67999999999995</v>
      </c>
      <c r="J565" s="18">
        <v>1522.96</v>
      </c>
      <c r="K565" s="18"/>
      <c r="L565" s="88">
        <f>SUM(F565:K565)</f>
        <v>106691.24</v>
      </c>
      <c r="M565" s="8"/>
      <c r="N565" s="266"/>
    </row>
    <row r="566" spans="1:14" s="3" customFormat="1" ht="12.2" customHeight="1" thickTop="1" x14ac:dyDescent="0.15">
      <c r="A566" s="139" t="s">
        <v>65</v>
      </c>
      <c r="B566" s="107">
        <v>22</v>
      </c>
      <c r="C566" s="107">
        <v>8</v>
      </c>
      <c r="D566" s="196" t="s">
        <v>432</v>
      </c>
      <c r="E566" s="107"/>
      <c r="F566" s="89">
        <f t="shared" ref="F566:L566" si="44">SUM(F563:F565)</f>
        <v>289825.90000000002</v>
      </c>
      <c r="G566" s="89">
        <f t="shared" si="44"/>
        <v>58088.31</v>
      </c>
      <c r="H566" s="89">
        <f t="shared" si="44"/>
        <v>1280</v>
      </c>
      <c r="I566" s="89">
        <f t="shared" si="44"/>
        <v>932.4</v>
      </c>
      <c r="J566" s="89">
        <f t="shared" si="44"/>
        <v>1522.96</v>
      </c>
      <c r="K566" s="89">
        <f t="shared" si="44"/>
        <v>0</v>
      </c>
      <c r="L566" s="89">
        <f t="shared" si="44"/>
        <v>351649.57</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289825.90000000002</v>
      </c>
      <c r="G572" s="89">
        <f t="shared" ref="G572:L572" si="46">G561+G566+G571</f>
        <v>58088.31</v>
      </c>
      <c r="H572" s="89">
        <f t="shared" si="46"/>
        <v>1280</v>
      </c>
      <c r="I572" s="89">
        <f t="shared" si="46"/>
        <v>932.4</v>
      </c>
      <c r="J572" s="89">
        <f t="shared" si="46"/>
        <v>1522.96</v>
      </c>
      <c r="K572" s="89">
        <f t="shared" si="46"/>
        <v>0</v>
      </c>
      <c r="L572" s="89">
        <f t="shared" si="46"/>
        <v>351649.57</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10901.78</v>
      </c>
      <c r="G580" s="18">
        <v>1927.25</v>
      </c>
      <c r="H580" s="18">
        <v>12994.32</v>
      </c>
      <c r="I580" s="87">
        <f t="shared" si="47"/>
        <v>25823.35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306304.06</v>
      </c>
      <c r="G583" s="18">
        <v>441130.71</v>
      </c>
      <c r="H583" s="18">
        <v>350568.16</v>
      </c>
      <c r="I583" s="87">
        <f t="shared" si="47"/>
        <v>1098002.93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75</v>
      </c>
      <c r="I585" s="87">
        <f t="shared" si="47"/>
        <v>75</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v>1800</v>
      </c>
      <c r="I588" s="87">
        <f t="shared" si="47"/>
        <v>1800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329227.57</v>
      </c>
      <c r="I592" s="18">
        <v>163901.17000000001</v>
      </c>
      <c r="J592" s="18">
        <v>219485.04</v>
      </c>
      <c r="K592" s="104">
        <f t="shared" ref="K592:K598" si="48">SUM(H592:J592)</f>
        <v>712613.78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108295.66</v>
      </c>
      <c r="I593" s="18">
        <v>89875.45</v>
      </c>
      <c r="J593" s="18">
        <v>82009.179999999993</v>
      </c>
      <c r="K593" s="104">
        <f t="shared" si="48"/>
        <v>280180.28999999998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418.5</v>
      </c>
      <c r="I595" s="18">
        <v>10138.780000000001</v>
      </c>
      <c r="J595" s="18">
        <v>64027.6</v>
      </c>
      <c r="K595" s="104">
        <f t="shared" si="48"/>
        <v>74584.88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29586.81</v>
      </c>
      <c r="I596" s="18">
        <v>33151.199999999997</v>
      </c>
      <c r="J596" s="18">
        <v>33287.93</v>
      </c>
      <c r="K596" s="104">
        <f t="shared" si="48"/>
        <v>96025.94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467528.54</v>
      </c>
      <c r="I599" s="108">
        <f>SUM(I592:I598)</f>
        <v>297066.60000000003</v>
      </c>
      <c r="J599" s="108">
        <f>SUM(J592:J598)</f>
        <v>398809.74999999994</v>
      </c>
      <c r="K599" s="108">
        <f>SUM(K592:K598)</f>
        <v>1163404.8900000001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t="s">
        <v>286</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9599.7099999999991</v>
      </c>
      <c r="I604" s="18">
        <v>4966.25</v>
      </c>
      <c r="J604" s="18">
        <v>52255.09</v>
      </c>
      <c r="K604" s="104">
        <f>SUM(H604:J604)</f>
        <v>66821.049999999988</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123107.86</v>
      </c>
      <c r="I605" s="18">
        <v>109986.26000000001</v>
      </c>
      <c r="J605" s="18">
        <v>170106.9</v>
      </c>
      <c r="K605" s="104">
        <f>SUM(H605:J605)</f>
        <v>403201.02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132707.57</v>
      </c>
      <c r="I606" s="108">
        <f>SUM(I603:I605)</f>
        <v>114952.51000000001</v>
      </c>
      <c r="J606" s="108">
        <f>SUM(J603:J605)</f>
        <v>222361.99</v>
      </c>
      <c r="K606" s="108">
        <f>SUM(K603:K605)</f>
        <v>470022.07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v>5000</v>
      </c>
      <c r="G614" s="18">
        <v>1274.18</v>
      </c>
      <c r="H614" s="18"/>
      <c r="I614" s="18"/>
      <c r="J614" s="18"/>
      <c r="K614" s="18"/>
      <c r="L614" s="88">
        <f>SUM(F614:K614)</f>
        <v>6274.18</v>
      </c>
      <c r="M614" s="8"/>
      <c r="N614" s="266"/>
    </row>
    <row r="615" spans="1:14" s="3" customFormat="1" ht="12.2" customHeight="1" thickTop="1" x14ac:dyDescent="0.15">
      <c r="A615" s="98" t="s">
        <v>340</v>
      </c>
      <c r="B615" s="107">
        <v>23</v>
      </c>
      <c r="C615" s="107">
        <v>16</v>
      </c>
      <c r="D615" s="39" t="s">
        <v>432</v>
      </c>
      <c r="E615" s="107"/>
      <c r="F615" s="108">
        <f t="shared" ref="F615:L615" si="49">SUM(F612:F614)</f>
        <v>5000</v>
      </c>
      <c r="G615" s="108">
        <f t="shared" si="49"/>
        <v>1274.18</v>
      </c>
      <c r="H615" s="108">
        <f t="shared" si="49"/>
        <v>0</v>
      </c>
      <c r="I615" s="108">
        <f t="shared" si="49"/>
        <v>0</v>
      </c>
      <c r="J615" s="108">
        <f t="shared" si="49"/>
        <v>0</v>
      </c>
      <c r="K615" s="108">
        <f t="shared" si="49"/>
        <v>0</v>
      </c>
      <c r="L615" s="89">
        <f t="shared" si="49"/>
        <v>6274.18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97004.709999999992</v>
      </c>
      <c r="H619" s="109">
        <f>SUM(G52)</f>
        <v>97004.709999999992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511377.54</v>
      </c>
      <c r="H620" s="109">
        <f>SUM(H52)</f>
        <v>511377.54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1986.47</v>
      </c>
      <c r="H624" s="109">
        <f>G477</f>
        <v>1986.4700000000885</v>
      </c>
      <c r="I624" s="121" t="s">
        <v>102</v>
      </c>
      <c r="J624" s="109">
        <f t="shared" si="50"/>
        <v>-8.8448359747417271E-11</v>
      </c>
      <c r="K624" s="109"/>
      <c r="L624" s="109"/>
      <c r="M624" s="8"/>
    </row>
    <row r="625" spans="1:13" s="3" customFormat="1" ht="12.2" customHeight="1" x14ac:dyDescent="0.15">
      <c r="A625" s="97"/>
      <c r="B625" s="105"/>
      <c r="C625" s="105"/>
      <c r="D625" s="105"/>
      <c r="E625" s="105"/>
      <c r="F625" s="120" t="s">
        <v>867</v>
      </c>
      <c r="G625" s="109">
        <f>H51</f>
        <v>511377.54</v>
      </c>
      <c r="H625" s="109">
        <f>H477</f>
        <v>511377.54000000097</v>
      </c>
      <c r="I625" s="121" t="s">
        <v>103</v>
      </c>
      <c r="J625" s="109">
        <f t="shared" si="50"/>
        <v>-9.8953023552894592E-10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49996008.850000001</v>
      </c>
      <c r="H628" s="104">
        <f>SUM(F469)</f>
        <v>49996008.850000001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896137.01</v>
      </c>
      <c r="H629" s="104">
        <f>SUM(G469)</f>
        <v>896137.01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4597514.6999999993</v>
      </c>
      <c r="H630" s="104">
        <f>SUM(H469)</f>
        <v>4597514.7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49996008.850000001</v>
      </c>
      <c r="H633" s="104">
        <f>SUM(F473)</f>
        <v>49996008.850000001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4476275.5599999996</v>
      </c>
      <c r="H634" s="104">
        <f>SUM(H473)</f>
        <v>4476275.5599999996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332556.99</v>
      </c>
      <c r="H635" s="104">
        <f>I370</f>
        <v>332556.99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895136.60000000009</v>
      </c>
      <c r="H636" s="104">
        <f>SUM(G473)</f>
        <v>895136.6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1163404.8900000001</v>
      </c>
      <c r="H648" s="104">
        <f>L209+L227+L245</f>
        <v>1163404.8899999999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470022.07</v>
      </c>
      <c r="H649" s="104">
        <f>(J258+J339)-(J256+J337)</f>
        <v>470022.07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467528.54</v>
      </c>
      <c r="H650" s="104">
        <f>H599</f>
        <v>467528.54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297066.59999999998</v>
      </c>
      <c r="H651" s="104">
        <f>I599</f>
        <v>297066.60000000003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398809.75</v>
      </c>
      <c r="H652" s="104">
        <f>J599</f>
        <v>398809.74999999994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186540.32</v>
      </c>
      <c r="H653" s="104">
        <f>K264+K346</f>
        <v>186540.32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1564376</v>
      </c>
      <c r="H654" s="104">
        <f>K265</f>
        <v>1564376</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20737229.360000003</v>
      </c>
      <c r="G661" s="19">
        <f>(L230+L310+L360)</f>
        <v>11198819.189999998</v>
      </c>
      <c r="H661" s="19">
        <f>(L248+L329+L361)</f>
        <v>21680456.139999997</v>
      </c>
      <c r="I661" s="19">
        <f>SUM(F661:H661)</f>
        <v>53616504.689999998</v>
      </c>
      <c r="J661" s="13"/>
      <c r="K661" s="13"/>
      <c r="L661" s="13"/>
      <c r="M661" s="9"/>
    </row>
    <row r="662" spans="1:13" s="3" customFormat="1" ht="12.2" customHeight="1" x14ac:dyDescent="0.2">
      <c r="A662" s="1" t="s">
        <v>127</v>
      </c>
      <c r="F662" s="19">
        <f>(L359/IF(SUM(L359:L361)=0,1,SUM(L359:L361))*(SUM(G97:G110)))</f>
        <v>166159.30353722605</v>
      </c>
      <c r="G662" s="19">
        <f>(L360/IF(SUM(L359:L361)=0,1,SUM(L359:L361))*(SUM(G97:G110)))</f>
        <v>85424.93229183869</v>
      </c>
      <c r="H662" s="19">
        <f>(L361/IF(SUM(L359:L361)=0,1,SUM(L359:L361))*(SUM(G97:G110)))</f>
        <v>176001.69417093522</v>
      </c>
      <c r="I662" s="19">
        <f>SUM(F662:H662)</f>
        <v>427585.92999999993</v>
      </c>
      <c r="J662"/>
      <c r="K662" s="13"/>
      <c r="L662" s="13"/>
      <c r="M662" s="8"/>
    </row>
    <row r="663" spans="1:13" s="3" customFormat="1" ht="12.2" customHeight="1" x14ac:dyDescent="0.2">
      <c r="A663" s="1" t="s">
        <v>128</v>
      </c>
      <c r="F663" s="19">
        <f>(L209+L288)-(J209+J288)</f>
        <v>467528.54</v>
      </c>
      <c r="G663" s="19">
        <f>(L227+L307)-(J227+J307)</f>
        <v>297066.59999999998</v>
      </c>
      <c r="H663" s="19">
        <f>(L245+L326)-(J245+J326)</f>
        <v>437153.83</v>
      </c>
      <c r="I663" s="19">
        <f>SUM(F663:H663)</f>
        <v>1201748.97</v>
      </c>
      <c r="J663"/>
      <c r="K663" s="13"/>
      <c r="L663" s="13"/>
      <c r="M663" s="9"/>
    </row>
    <row r="664" spans="1:13" s="3" customFormat="1" ht="12.2" customHeight="1" x14ac:dyDescent="0.15">
      <c r="A664" s="198" t="s">
        <v>129</v>
      </c>
      <c r="B664" s="169"/>
      <c r="C664" s="169"/>
      <c r="D664" s="169"/>
      <c r="E664" s="169"/>
      <c r="F664" s="199">
        <f>SUM(F576:F588)+SUM(H603:H605)+SUM(L612)</f>
        <v>449913.41000000003</v>
      </c>
      <c r="G664" s="199">
        <f>SUM(G576:G588)+SUM(I603:I605)+L613</f>
        <v>558010.47</v>
      </c>
      <c r="H664" s="199">
        <f>SUM(H576:H588)+SUM(J603:J605)+L614</f>
        <v>594073.65</v>
      </c>
      <c r="I664" s="19">
        <f>SUM(F664:H664)</f>
        <v>1601997.53</v>
      </c>
      <c r="J664" s="13"/>
      <c r="K664" s="13"/>
      <c r="L664" s="13"/>
      <c r="M664" s="9"/>
    </row>
    <row r="665" spans="1:13" s="3" customFormat="1" ht="12.2" customHeight="1" x14ac:dyDescent="0.15">
      <c r="A665" s="1" t="s">
        <v>130</v>
      </c>
      <c r="F665" s="19">
        <f>F661-SUM(F662:F664)</f>
        <v>19653628.106462777</v>
      </c>
      <c r="G665" s="19">
        <f>G661-SUM(G662:G664)</f>
        <v>10258317.187708158</v>
      </c>
      <c r="H665" s="19">
        <f>H661-SUM(H662:H664)</f>
        <v>20473226.965829063</v>
      </c>
      <c r="I665" s="19">
        <f>I661-SUM(I662:I664)</f>
        <v>50385172.259999998</v>
      </c>
      <c r="J665" s="13"/>
      <c r="K665" s="13"/>
      <c r="L665" s="13"/>
      <c r="M665" s="8"/>
    </row>
    <row r="666" spans="1:13" s="3" customFormat="1" ht="12.2" customHeight="1" x14ac:dyDescent="0.2">
      <c r="A666" s="1" t="s">
        <v>131</v>
      </c>
      <c r="F666" s="246">
        <f>5.68+154.08+815.15</f>
        <v>974.91</v>
      </c>
      <c r="G666" s="247">
        <v>510.64</v>
      </c>
      <c r="H666" s="247">
        <v>1133.71</v>
      </c>
      <c r="I666" s="19">
        <f>SUM(F666:H666)</f>
        <v>2619.2600000000002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20159.43</v>
      </c>
      <c r="G668" s="19">
        <f>ROUND(G665/G666,2)</f>
        <v>20089.14</v>
      </c>
      <c r="H668" s="19">
        <f>ROUND(H665/H666,2)</f>
        <v>18058.61</v>
      </c>
      <c r="I668" s="19">
        <f>ROUND(I665/I666,2)</f>
        <v>19236.41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20159.43</v>
      </c>
      <c r="G673" s="19">
        <f>ROUND((G665+G670)/(G666+G671),2)</f>
        <v>20089.14</v>
      </c>
      <c r="H673" s="19">
        <f>ROUND((H665+H670)/(H666+H671),2)</f>
        <v>18058.61</v>
      </c>
      <c r="I673" s="19">
        <f>ROUND((I665+I670)/(I666+I671),2)</f>
        <v>19236.41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15" workbookViewId="0">
      <selection activeCell="B36" sqref="B36"/>
    </sheetView>
  </sheetViews>
  <sheetFormatPr defaultColWidth="9"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Portsmouth School Department - SAU 52</v>
      </c>
      <c r="C5" s="344"/>
      <c r="D5" s="344"/>
      <c r="E5" s="344"/>
      <c r="F5" s="344"/>
    </row>
    <row r="8" spans="1:9" ht="18" x14ac:dyDescent="0.25">
      <c r="A8" s="323" t="s">
        <v>1591</v>
      </c>
      <c r="F8" s="330" t="s">
        <v>1609</v>
      </c>
    </row>
    <row r="9" spans="1:9" ht="15" x14ac:dyDescent="0.2">
      <c r="A9" s="321" t="s">
        <v>1592</v>
      </c>
      <c r="B9" s="324">
        <f>'DOE25'!G97</f>
        <v>405132.62</v>
      </c>
      <c r="F9" s="321" t="s">
        <v>1605</v>
      </c>
    </row>
    <row r="10" spans="1:9" ht="15" x14ac:dyDescent="0.2">
      <c r="A10" s="321" t="s">
        <v>1593</v>
      </c>
      <c r="B10" s="324">
        <f>'DOE25'!G112-'DOE25'!G97</f>
        <v>22453.309999999998</v>
      </c>
      <c r="F10" s="321" t="s">
        <v>1606</v>
      </c>
    </row>
    <row r="11" spans="1:9" ht="15" x14ac:dyDescent="0.2">
      <c r="A11" s="321" t="s">
        <v>1594</v>
      </c>
      <c r="B11" s="324">
        <f>'DOE25'!G140</f>
        <v>15550.83</v>
      </c>
      <c r="F11" s="321" t="s">
        <v>1607</v>
      </c>
    </row>
    <row r="12" spans="1:9" ht="15" x14ac:dyDescent="0.2">
      <c r="A12" s="321" t="s">
        <v>1595</v>
      </c>
      <c r="B12" s="324">
        <f>'DOE25'!G170</f>
        <v>266459.93</v>
      </c>
      <c r="F12" s="321" t="s">
        <v>1608</v>
      </c>
    </row>
    <row r="13" spans="1:9" ht="15" x14ac:dyDescent="0.2">
      <c r="A13" s="321" t="s">
        <v>1596</v>
      </c>
      <c r="B13" s="324">
        <f>'DOE25'!G193-'DOE25'!G180</f>
        <v>0</v>
      </c>
      <c r="F13" s="321" t="s">
        <v>1618</v>
      </c>
    </row>
    <row r="14" spans="1:9" ht="18" x14ac:dyDescent="0.25">
      <c r="A14" s="323" t="s">
        <v>732</v>
      </c>
      <c r="B14" s="325">
        <f>SUM(B9:B13)</f>
        <v>709596.69</v>
      </c>
    </row>
    <row r="16" spans="1:9" ht="18" x14ac:dyDescent="0.25">
      <c r="A16" s="323" t="s">
        <v>786</v>
      </c>
      <c r="F16" s="330" t="s">
        <v>1610</v>
      </c>
    </row>
    <row r="17" spans="1:6" ht="15" x14ac:dyDescent="0.2">
      <c r="A17" s="321" t="s">
        <v>1597</v>
      </c>
      <c r="B17" s="324">
        <f>'DOE25'!L363-'DOE25'!L362</f>
        <v>895136.60000000009</v>
      </c>
      <c r="F17" s="321" t="s">
        <v>1611</v>
      </c>
    </row>
    <row r="18" spans="1:6" ht="15" x14ac:dyDescent="0.2">
      <c r="A18" s="321" t="s">
        <v>1598</v>
      </c>
      <c r="B18" s="338"/>
      <c r="F18" s="330" t="s">
        <v>1637</v>
      </c>
    </row>
    <row r="19" spans="1:6" ht="18" x14ac:dyDescent="0.25">
      <c r="A19" s="323" t="s">
        <v>725</v>
      </c>
      <c r="B19" s="325">
        <f>SUM(B17:B18)</f>
        <v>895136.60000000009</v>
      </c>
    </row>
    <row r="21" spans="1:6" ht="18.75" thickBot="1" x14ac:dyDescent="0.3">
      <c r="A21" s="323" t="s">
        <v>1599</v>
      </c>
    </row>
    <row r="22" spans="1:6" ht="18.75" thickTop="1" x14ac:dyDescent="0.25">
      <c r="A22" s="323" t="s">
        <v>1600</v>
      </c>
      <c r="B22" s="329">
        <f>B14-B19</f>
        <v>-185539.91000000015</v>
      </c>
      <c r="F22" s="321" t="s">
        <v>1612</v>
      </c>
    </row>
    <row r="26" spans="1:6" ht="18" x14ac:dyDescent="0.25">
      <c r="A26" s="323" t="s">
        <v>186</v>
      </c>
    </row>
    <row r="27" spans="1:6" ht="15" x14ac:dyDescent="0.2">
      <c r="A27" s="321" t="s">
        <v>1601</v>
      </c>
      <c r="B27" s="324">
        <f>'DOE25'!G180</f>
        <v>186540.32</v>
      </c>
      <c r="F27" s="321" t="s">
        <v>1613</v>
      </c>
    </row>
    <row r="28" spans="1:6" ht="15" x14ac:dyDescent="0.2">
      <c r="A28" s="321" t="s">
        <v>1603</v>
      </c>
      <c r="B28" s="324">
        <f>'DOE25'!L362</f>
        <v>0</v>
      </c>
      <c r="F28" s="321" t="s">
        <v>1614</v>
      </c>
    </row>
    <row r="31" spans="1:6" ht="15" x14ac:dyDescent="0.2">
      <c r="A31" s="321" t="s">
        <v>1640</v>
      </c>
      <c r="B31" s="324">
        <f>'DOE25'!G466</f>
        <v>986.06</v>
      </c>
      <c r="F31" s="321" t="s">
        <v>1615</v>
      </c>
    </row>
    <row r="33" spans="1:6" ht="15" x14ac:dyDescent="0.2">
      <c r="A33" s="321" t="s">
        <v>1641</v>
      </c>
      <c r="B33" s="324">
        <f>'DOE25'!G477</f>
        <v>1986.4700000000885</v>
      </c>
      <c r="F33" s="321" t="s">
        <v>1616</v>
      </c>
    </row>
    <row r="36" spans="1:6" ht="15" x14ac:dyDescent="0.2">
      <c r="A36" s="321" t="s">
        <v>1602</v>
      </c>
      <c r="B36" s="339">
        <v>29065.33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ColWidth="9" defaultRowHeight="11.25" x14ac:dyDescent="0.2"/>
  <cols>
    <col min="1" max="1" width="26.6640625" customWidth="1"/>
    <col min="2" max="2" width="33.83203125" customWidth="1"/>
    <col min="3" max="3" width="29.33203125" customWidth="1"/>
  </cols>
  <sheetData>
    <row r="1" spans="1:3" x14ac:dyDescent="0.2">
      <c r="A1" s="233" t="s">
        <v>781</v>
      </c>
      <c r="B1" s="232" t="str">
        <f>'DOE25'!A2</f>
        <v>Portsmouth School Department - SAU 52</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13988520.939999999</v>
      </c>
      <c r="C9" s="229">
        <f>'DOE25'!G198+'DOE25'!G216+'DOE25'!G234+'DOE25'!G277+'DOE25'!G296+'DOE25'!G315</f>
        <v>8414215.8699999992</v>
      </c>
    </row>
    <row r="10" spans="1:3" x14ac:dyDescent="0.2">
      <c r="A10" t="s">
        <v>775</v>
      </c>
      <c r="B10" s="240">
        <f>13202742.38+240490.7</f>
        <v>13443233.08</v>
      </c>
      <c r="C10" s="240">
        <f>(1025431.83-40687.13)+2334429.98+(61598.27-1027.38)+4992694.92</f>
        <v>8372440.4900000002</v>
      </c>
    </row>
    <row r="11" spans="1:3" x14ac:dyDescent="0.2">
      <c r="A11" t="s">
        <v>776</v>
      </c>
      <c r="B11" s="240">
        <v>13429.86</v>
      </c>
      <c r="C11" s="240">
        <v>1027.3800000000001</v>
      </c>
    </row>
    <row r="12" spans="1:3" x14ac:dyDescent="0.2">
      <c r="A12" t="s">
        <v>777</v>
      </c>
      <c r="B12" s="240">
        <f>531848.45+9.55</f>
        <v>531858</v>
      </c>
      <c r="C12" s="240">
        <f>40687.13+60.87</f>
        <v>40748</v>
      </c>
    </row>
    <row r="13" spans="1:3" x14ac:dyDescent="0.2">
      <c r="A13" t="str">
        <f>IF(B9=B13,IF(C9=C13,"Check Total OK","Check Total Error"),"Check Total Error")</f>
        <v>Check Total OK</v>
      </c>
      <c r="B13" s="231">
        <f>SUM(B10:B12)</f>
        <v>13988520.939999999</v>
      </c>
      <c r="C13" s="231">
        <f>SUM(C10:C12)</f>
        <v>8414215.870000001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5547556.96</v>
      </c>
      <c r="C18" s="229">
        <f>'DOE25'!G199+'DOE25'!G217+'DOE25'!G235+'DOE25'!G278+'DOE25'!G297+'DOE25'!G316</f>
        <v>2062281.33</v>
      </c>
    </row>
    <row r="19" spans="1:3" x14ac:dyDescent="0.2">
      <c r="A19" t="s">
        <v>775</v>
      </c>
      <c r="B19" s="240">
        <f>2071261.85+1353912.71</f>
        <v>3425174.56</v>
      </c>
      <c r="C19" s="240">
        <f>(225848.83+182060.71-156332.22-6030.03)+355369.81+238339.46+1008343.34-0.01</f>
        <v>1847599.89</v>
      </c>
    </row>
    <row r="20" spans="1:3" x14ac:dyDescent="0.2">
      <c r="A20" t="s">
        <v>776</v>
      </c>
      <c r="B20" s="240">
        <f>926409.66+1117148.81</f>
        <v>2043558.4700000002</v>
      </c>
      <c r="C20" s="240">
        <f>156332.22+14102.33+38216.86</f>
        <v>208651.40999999997</v>
      </c>
    </row>
    <row r="21" spans="1:3" x14ac:dyDescent="0.2">
      <c r="A21" t="s">
        <v>777</v>
      </c>
      <c r="B21" s="240">
        <f>57839.91+20984+0.02</f>
        <v>78823.930000000008</v>
      </c>
      <c r="C21" s="240">
        <f>6030.03</f>
        <v>6030.03</v>
      </c>
    </row>
    <row r="22" spans="1:3" x14ac:dyDescent="0.2">
      <c r="A22" t="str">
        <f>IF(B18=B22,IF(C18=C22,"Check Total OK","Check Total Error"),"Check Total Error")</f>
        <v>Check Total OK</v>
      </c>
      <c r="B22" s="231">
        <f>SUM(B19:B21)</f>
        <v>5547556.96</v>
      </c>
      <c r="C22" s="231">
        <f>SUM(C19:C21)</f>
        <v>2062281.3299999998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928951.35000000009</v>
      </c>
      <c r="C27" s="234">
        <f>'DOE25'!G200+'DOE25'!G218+'DOE25'!G236+'DOE25'!G279+'DOE25'!G298+'DOE25'!G317</f>
        <v>560387.76</v>
      </c>
    </row>
    <row r="28" spans="1:3" x14ac:dyDescent="0.2">
      <c r="A28" t="s">
        <v>775</v>
      </c>
      <c r="B28" s="240">
        <f>898279.37+9744.98</f>
        <v>908024.35</v>
      </c>
      <c r="C28" s="240">
        <f>228476.75+1102.08+544.9+327333.09</f>
        <v>557456.82000000007</v>
      </c>
    </row>
    <row r="29" spans="1:3" x14ac:dyDescent="0.2">
      <c r="A29" t="s">
        <v>776</v>
      </c>
      <c r="B29" s="240">
        <v>0</v>
      </c>
      <c r="C29" s="240">
        <v>0</v>
      </c>
    </row>
    <row r="30" spans="1:3" x14ac:dyDescent="0.2">
      <c r="A30" t="s">
        <v>777</v>
      </c>
      <c r="B30" s="240">
        <v>20927</v>
      </c>
      <c r="C30" s="240">
        <f>1330.02+1600.92</f>
        <v>2930.94</v>
      </c>
    </row>
    <row r="31" spans="1:3" x14ac:dyDescent="0.2">
      <c r="A31" t="str">
        <f>IF(B27=B31,IF(C27=C31,"Check Total OK","Check Total Error"),"Check Total Error")</f>
        <v>Check Total OK</v>
      </c>
      <c r="B31" s="231">
        <f>SUM(B28:B30)</f>
        <v>928951.35</v>
      </c>
      <c r="C31" s="231">
        <f>SUM(C28:C30)</f>
        <v>560387.76</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387562.81</v>
      </c>
      <c r="C36" s="235">
        <f>'DOE25'!G201+'DOE25'!G219+'DOE25'!G237+'DOE25'!G280+'DOE25'!G299+'DOE25'!G318</f>
        <v>184793.31999999998</v>
      </c>
    </row>
    <row r="37" spans="1:3" x14ac:dyDescent="0.2">
      <c r="A37" t="s">
        <v>775</v>
      </c>
      <c r="B37" s="240">
        <f>5000+47082.02</f>
        <v>52082.02</v>
      </c>
      <c r="C37" s="240">
        <f>890+384.18+7253.34+1568.89+(5362.01-375.77)</f>
        <v>15082.65</v>
      </c>
    </row>
    <row r="38" spans="1:3" x14ac:dyDescent="0.2">
      <c r="A38" t="s">
        <v>776</v>
      </c>
      <c r="B38" s="240">
        <v>17170.39</v>
      </c>
      <c r="C38" s="240">
        <v>0</v>
      </c>
    </row>
    <row r="39" spans="1:3" x14ac:dyDescent="0.2">
      <c r="A39" t="s">
        <v>777</v>
      </c>
      <c r="B39" s="240">
        <f>313398.41+4912-0.01</f>
        <v>318310.39999999997</v>
      </c>
      <c r="C39" s="240">
        <f>(28817.59-890)+(24175.97-384.18)+875.4+116024.41+715.71+375.77</f>
        <v>169710.66999999998</v>
      </c>
    </row>
    <row r="40" spans="1:3" x14ac:dyDescent="0.2">
      <c r="A40" t="str">
        <f>IF(B36=B40,IF(C36=C40,"Check Total OK","Check Total Error"),"Check Total Error")</f>
        <v>Check Total OK</v>
      </c>
      <c r="B40" s="231">
        <f>SUM(B37:B39)</f>
        <v>387562.80999999994</v>
      </c>
      <c r="C40" s="231">
        <f>SUM(C37:C39)</f>
        <v>184793.31999999998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5" zoomScaleNormal="125" zoomScalePageLayoutView="125" workbookViewId="0">
      <pane ySplit="4" topLeftCell="A5" activePane="bottomLeft" state="frozen"/>
      <selection activeCell="F46" sqref="F46"/>
      <selection pane="bottomLeft" activeCell="F28" sqref="F28"/>
    </sheetView>
  </sheetViews>
  <sheetFormatPr defaultColWidth="9" defaultRowHeight="11.25" x14ac:dyDescent="0.2"/>
  <cols>
    <col min="1" max="1" width="10.83203125" customWidth="1"/>
    <col min="2" max="2" width="41.1640625" customWidth="1"/>
    <col min="3" max="3" width="22.6640625" customWidth="1"/>
    <col min="4" max="4" width="20.3320312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Portsmouth School Department - SAU 52</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30630265.129999999</v>
      </c>
      <c r="D5" s="20">
        <f>SUM('DOE25'!L198:L201)+SUM('DOE25'!L216:L219)+SUM('DOE25'!L234:L237)-F5-G5-H5</f>
        <v>30576960.73</v>
      </c>
      <c r="E5" s="243"/>
      <c r="F5" s="244">
        <v>0</v>
      </c>
      <c r="G5" s="53">
        <f>SUM('DOE25'!J198:J201)+SUM('DOE25'!J216:J219)+SUM('DOE25'!J234:J237)</f>
        <v>52784.399999999994</v>
      </c>
      <c r="H5" s="53">
        <f>SUM('DOE25'!K198:K201)+SUM('DOE25'!K216:K219)+SUM('DOE25'!K234:K237)</f>
        <v>520</v>
      </c>
      <c r="I5" s="256"/>
    </row>
    <row r="6" spans="1:9" x14ac:dyDescent="0.2">
      <c r="A6" s="32">
        <v>2100</v>
      </c>
      <c r="B6" t="s">
        <v>796</v>
      </c>
      <c r="C6" s="276">
        <f t="shared" si="0"/>
        <v>5911887.6200000001</v>
      </c>
      <c r="D6" s="20">
        <f>'DOE25'!L203+'DOE25'!L221+'DOE25'!L239-F6-G6-H6</f>
        <v>5888745.4700000007</v>
      </c>
      <c r="E6" s="243"/>
      <c r="F6" s="244">
        <v>0</v>
      </c>
      <c r="G6" s="53">
        <f>'DOE25'!J203+'DOE25'!J221+'DOE25'!J239</f>
        <v>313.96999999999997</v>
      </c>
      <c r="H6" s="53">
        <f>'DOE25'!K203+'DOE25'!K221+'DOE25'!K239</f>
        <v>22828.18</v>
      </c>
      <c r="I6" s="256"/>
    </row>
    <row r="7" spans="1:9" x14ac:dyDescent="0.2">
      <c r="A7" s="32">
        <v>2200</v>
      </c>
      <c r="B7" t="s">
        <v>821</v>
      </c>
      <c r="C7" s="276">
        <f t="shared" si="0"/>
        <v>790690.10000000009</v>
      </c>
      <c r="D7" s="20">
        <f>'DOE25'!L204+'DOE25'!L222+'DOE25'!L240-F7-G7-H7</f>
        <v>588083.27000000014</v>
      </c>
      <c r="E7" s="243"/>
      <c r="F7" s="244">
        <v>0</v>
      </c>
      <c r="G7" s="53">
        <f>'DOE25'!J204+'DOE25'!J222+'DOE25'!J240</f>
        <v>202091.83</v>
      </c>
      <c r="H7" s="53">
        <f>'DOE25'!K204+'DOE25'!K222+'DOE25'!K240</f>
        <v>515</v>
      </c>
      <c r="I7" s="256"/>
    </row>
    <row r="8" spans="1:9" x14ac:dyDescent="0.2">
      <c r="A8" s="32">
        <v>2300</v>
      </c>
      <c r="B8" t="s">
        <v>797</v>
      </c>
      <c r="C8" s="276">
        <f t="shared" si="0"/>
        <v>804754.10999999975</v>
      </c>
      <c r="D8" s="243"/>
      <c r="E8" s="20">
        <f>'DOE25'!L205+'DOE25'!L223+'DOE25'!L241-F8-G8-H8-D9-D11</f>
        <v>766201.22999999975</v>
      </c>
      <c r="F8" s="244">
        <v>0</v>
      </c>
      <c r="G8" s="53">
        <f>'DOE25'!J205+'DOE25'!J223+'DOE25'!J241</f>
        <v>0</v>
      </c>
      <c r="H8" s="53">
        <f>'DOE25'!K205+'DOE25'!K223+'DOE25'!K241</f>
        <v>38552.880000000005</v>
      </c>
      <c r="I8" s="256"/>
    </row>
    <row r="9" spans="1:9" ht="14.25" x14ac:dyDescent="0.2">
      <c r="A9" s="32">
        <v>2310</v>
      </c>
      <c r="B9" s="185" t="s">
        <v>890</v>
      </c>
      <c r="C9" s="276">
        <f t="shared" si="0"/>
        <v>23868.09</v>
      </c>
      <c r="D9" s="244">
        <v>23868.09</v>
      </c>
      <c r="E9" s="243"/>
      <c r="F9" s="253"/>
      <c r="G9" s="253"/>
      <c r="H9" s="253"/>
      <c r="I9" s="256"/>
    </row>
    <row r="10" spans="1:9" ht="14.25" x14ac:dyDescent="0.2">
      <c r="A10" s="32">
        <v>2317</v>
      </c>
      <c r="B10" s="185" t="s">
        <v>891</v>
      </c>
      <c r="C10" s="276">
        <f t="shared" si="0"/>
        <v>0</v>
      </c>
      <c r="D10" s="243"/>
      <c r="E10" s="244">
        <v>0</v>
      </c>
      <c r="F10" s="253"/>
      <c r="G10" s="253"/>
      <c r="H10" s="253"/>
      <c r="I10" s="256"/>
    </row>
    <row r="11" spans="1:9" ht="14.25" x14ac:dyDescent="0.2">
      <c r="A11" s="32">
        <v>2321</v>
      </c>
      <c r="B11" s="185" t="s">
        <v>892</v>
      </c>
      <c r="C11" s="276">
        <f t="shared" si="0"/>
        <v>521472.44</v>
      </c>
      <c r="D11" s="244">
        <v>521472.44</v>
      </c>
      <c r="E11" s="243"/>
      <c r="F11" s="253"/>
      <c r="G11" s="253"/>
      <c r="H11" s="253"/>
      <c r="I11" s="256"/>
    </row>
    <row r="12" spans="1:9" x14ac:dyDescent="0.2">
      <c r="A12" s="32">
        <v>2400</v>
      </c>
      <c r="B12" t="s">
        <v>711</v>
      </c>
      <c r="C12" s="276">
        <f t="shared" si="0"/>
        <v>2626240.5300000003</v>
      </c>
      <c r="D12" s="20">
        <f>'DOE25'!L206+'DOE25'!L224+'DOE25'!L242-F12-G12-H12</f>
        <v>2621896.7000000002</v>
      </c>
      <c r="E12" s="243"/>
      <c r="F12" s="244">
        <v>0</v>
      </c>
      <c r="G12" s="53">
        <f>'DOE25'!J206+'DOE25'!J224+'DOE25'!J242</f>
        <v>0</v>
      </c>
      <c r="H12" s="53">
        <f>'DOE25'!K206+'DOE25'!K224+'DOE25'!K242</f>
        <v>4343.83</v>
      </c>
      <c r="I12" s="256"/>
    </row>
    <row r="13" spans="1:9" x14ac:dyDescent="0.2">
      <c r="A13" s="32">
        <v>2500</v>
      </c>
      <c r="B13" t="s">
        <v>798</v>
      </c>
      <c r="C13" s="276">
        <f t="shared" si="0"/>
        <v>655464.02</v>
      </c>
      <c r="D13" s="243"/>
      <c r="E13" s="20">
        <f>'DOE25'!L207+'DOE25'!L225+'DOE25'!L243-F13-G13-H13</f>
        <v>655232.53</v>
      </c>
      <c r="F13" s="244">
        <v>0</v>
      </c>
      <c r="G13" s="53">
        <f>'DOE25'!J207+'DOE25'!J225+'DOE25'!J243</f>
        <v>0</v>
      </c>
      <c r="H13" s="53">
        <f>'DOE25'!K207+'DOE25'!K225+'DOE25'!K243</f>
        <v>231.49</v>
      </c>
      <c r="I13" s="256"/>
    </row>
    <row r="14" spans="1:9" x14ac:dyDescent="0.2">
      <c r="A14" s="32">
        <v>2600</v>
      </c>
      <c r="B14" t="s">
        <v>819</v>
      </c>
      <c r="C14" s="276">
        <f t="shared" si="0"/>
        <v>4100099.7399999998</v>
      </c>
      <c r="D14" s="20">
        <f>'DOE25'!L208+'DOE25'!L226+'DOE25'!L244-F14-G14-H14</f>
        <v>4050734.3899999997</v>
      </c>
      <c r="E14" s="243"/>
      <c r="F14" s="244">
        <v>0</v>
      </c>
      <c r="G14" s="53">
        <f>'DOE25'!J208+'DOE25'!J226+'DOE25'!J244</f>
        <v>27855.059999999998</v>
      </c>
      <c r="H14" s="53">
        <f>'DOE25'!K208+'DOE25'!K226+'DOE25'!K244</f>
        <v>21510.29</v>
      </c>
      <c r="I14" s="256"/>
    </row>
    <row r="15" spans="1:9" x14ac:dyDescent="0.2">
      <c r="A15" s="32">
        <v>2700</v>
      </c>
      <c r="B15" t="s">
        <v>799</v>
      </c>
      <c r="C15" s="276">
        <f t="shared" si="0"/>
        <v>1163404.8899999999</v>
      </c>
      <c r="D15" s="20">
        <f>'DOE25'!L209+'DOE25'!L227+'DOE25'!L245-F15-G15-H15</f>
        <v>231846.85999999987</v>
      </c>
      <c r="E15" s="243"/>
      <c r="F15" s="244">
        <f>134671.95+796886.08</f>
        <v>931558.03</v>
      </c>
      <c r="G15" s="53">
        <f>'DOE25'!J209+'DOE25'!J227+'DOE25'!J245</f>
        <v>0</v>
      </c>
      <c r="H15" s="53">
        <f>'DOE25'!K209+'DOE25'!K227+'DOE25'!K245</f>
        <v>0</v>
      </c>
      <c r="I15" s="256"/>
    </row>
    <row r="16" spans="1:9" x14ac:dyDescent="0.2">
      <c r="A16" s="32">
        <v>2800</v>
      </c>
      <c r="B16" t="s">
        <v>800</v>
      </c>
      <c r="C16" s="276">
        <f t="shared" si="0"/>
        <v>1016945.86</v>
      </c>
      <c r="D16" s="243"/>
      <c r="E16" s="20">
        <f>'DOE25'!L210+'DOE25'!L228+'DOE25'!L246-F16-G16-H16</f>
        <v>842576.02</v>
      </c>
      <c r="F16" s="244">
        <f>35948.1+136421.74</f>
        <v>172369.84</v>
      </c>
      <c r="G16" s="53">
        <f>'DOE25'!J210+'DOE25'!J228+'DOE25'!J246</f>
        <v>0</v>
      </c>
      <c r="H16" s="53">
        <f>'DOE25'!K210+'DOE25'!K228+'DOE25'!K246</f>
        <v>2000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622104.68000000017</v>
      </c>
      <c r="D29" s="284">
        <f>'DOE25'!L359+'DOE25'!L360+'DOE25'!L361-'DOE25'!I368-F29-G29-H29</f>
        <v>618755.76000000013</v>
      </c>
      <c r="E29" s="243"/>
      <c r="F29" s="244">
        <v>0</v>
      </c>
      <c r="G29" s="53">
        <f>'DOE25'!J359+'DOE25'!J360+'DOE25'!J361</f>
        <v>1885.5</v>
      </c>
      <c r="H29" s="53">
        <f>'DOE25'!K359+'DOE25'!K360+'DOE25'!K361</f>
        <v>1463.42</v>
      </c>
      <c r="I29" s="256"/>
    </row>
    <row r="30" spans="1:9" x14ac:dyDescent="0.2">
      <c r="A30" s="32"/>
      <c r="C30" s="277"/>
      <c r="D30" s="20"/>
      <c r="E30" s="281"/>
      <c r="F30" s="271"/>
      <c r="G30" s="53"/>
      <c r="H30" s="53"/>
      <c r="I30" s="256"/>
    </row>
    <row r="31" spans="1:9" x14ac:dyDescent="0.2">
      <c r="A31" s="32" t="s">
        <v>818</v>
      </c>
      <c r="B31" t="s">
        <v>817</v>
      </c>
      <c r="C31" s="276">
        <f>SUM(D31:I31)</f>
        <v>4476275.5599999996</v>
      </c>
      <c r="D31" s="20">
        <f>'DOE25'!L291+'DOE25'!L310+'DOE25'!L329+'DOE25'!L334+'DOE25'!L335+'DOE25'!L336-F31-G31-H31</f>
        <v>4216763.1100000003</v>
      </c>
      <c r="E31" s="243"/>
      <c r="F31" s="244">
        <f>38344.08</f>
        <v>38344.080000000002</v>
      </c>
      <c r="G31" s="53">
        <f>'DOE25'!J291+'DOE25'!J310+'DOE25'!J329+'DOE25'!J334+'DOE25'!J335+'DOE25'!J336</f>
        <v>186976.81</v>
      </c>
      <c r="H31" s="53">
        <f>'DOE25'!K291+'DOE25'!K310+'DOE25'!K329+'DOE25'!K334+'DOE25'!K335+'DOE25'!K336</f>
        <v>34191.56</v>
      </c>
      <c r="I31" s="256"/>
    </row>
    <row r="32" spans="1:9" ht="12" thickBot="1" x14ac:dyDescent="0.25">
      <c r="C32" s="277"/>
      <c r="G32" s="251"/>
      <c r="H32" s="251"/>
      <c r="I32" s="258"/>
    </row>
    <row r="33" spans="1:9" ht="12" thickTop="1" x14ac:dyDescent="0.2">
      <c r="B33" t="s">
        <v>809</v>
      </c>
      <c r="D33" s="245">
        <f t="shared" ref="D33:I33" si="1">SUM(D5:D31)</f>
        <v>49339126.820000008</v>
      </c>
      <c r="E33" s="245">
        <f t="shared" si="1"/>
        <v>2264009.7799999998</v>
      </c>
      <c r="F33" s="245">
        <f t="shared" si="1"/>
        <v>1142271.9500000002</v>
      </c>
      <c r="G33" s="245">
        <f t="shared" si="1"/>
        <v>471907.57</v>
      </c>
      <c r="H33" s="245">
        <f t="shared" si="1"/>
        <v>126156.65000000001</v>
      </c>
      <c r="I33" s="245">
        <f t="shared" si="1"/>
        <v>0</v>
      </c>
    </row>
    <row r="35" spans="1:9" ht="12" thickBot="1" x14ac:dyDescent="0.25">
      <c r="B35" s="251" t="s">
        <v>831</v>
      </c>
      <c r="D35" s="252">
        <f>E33</f>
        <v>2264009.7799999998</v>
      </c>
      <c r="E35" s="248"/>
    </row>
    <row r="36" spans="1:9" ht="12" thickTop="1" x14ac:dyDescent="0.2">
      <c r="B36" t="s">
        <v>810</v>
      </c>
      <c r="D36" s="20">
        <f>D33</f>
        <v>49339126.820000008</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125" zoomScaleNormal="125" zoomScalePageLayoutView="125" workbookViewId="0">
      <selection activeCell="D7" sqref="D7"/>
    </sheetView>
  </sheetViews>
  <sheetFormatPr defaultColWidth="9"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33203125" style="32" customWidth="1"/>
    <col min="15" max="15" width="19.3320312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Portsmouth School Department - SAU 52</v>
      </c>
      <c r="B2" s="126">
        <f>'DOE25'!B2</f>
        <v>449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20389380.509999998</v>
      </c>
      <c r="G4" s="303">
        <f>'DOE25'!L212+'DOE25'!L291</f>
        <v>20389380.510000002</v>
      </c>
      <c r="H4" s="337">
        <f>F4-G4</f>
        <v>0</v>
      </c>
      <c r="I4" s="309" t="str">
        <f>IF(H4=0,"","Does not match DOE25 page 7 and 11 Totals!!")</f>
        <v/>
      </c>
      <c r="N4"/>
    </row>
    <row r="5" spans="1:18" x14ac:dyDescent="0.2">
      <c r="A5" s="21" t="s">
        <v>1373</v>
      </c>
      <c r="B5" s="304">
        <f>IFERROR(VLOOKUP(A5,'School Tables'!$C$3:$D$365,2,FALSE),"")</f>
        <v>22545</v>
      </c>
      <c r="C5" s="297" t="str">
        <f>IFERROR(INDEX('School Tables'!$B$3:$B$365,MATCH('School Level Expenditures'!B5,'School Tables'!$D$3:$D$365,0)),"")</f>
        <v>Portsmouth</v>
      </c>
      <c r="D5" s="294">
        <f>3724029.5+145686.16+315312.64+1108049.86+714416.78-9227.93</f>
        <v>5998267.0100000007</v>
      </c>
      <c r="E5" s="294">
        <f>280778.64+65191.75+19686.16</f>
        <v>365656.55</v>
      </c>
      <c r="F5" s="312">
        <f>D5+E5</f>
        <v>6363923.5600000005</v>
      </c>
      <c r="G5" s="297"/>
      <c r="H5" s="297"/>
      <c r="I5" s="126"/>
      <c r="N5"/>
    </row>
    <row r="6" spans="1:18" x14ac:dyDescent="0.2">
      <c r="A6" s="21" t="s">
        <v>1371</v>
      </c>
      <c r="B6" s="304">
        <f>IFERROR(VLOOKUP(A6,'School Tables'!$C$3:$D$365,2,FALSE),"")</f>
        <v>22515</v>
      </c>
      <c r="C6" s="297" t="str">
        <f>IFERROR(INDEX('School Tables'!$B$3:$B$365,MATCH('School Level Expenditures'!B6,'School Tables'!$D$3:$D$365,0)),"")</f>
        <v>Portsmouth</v>
      </c>
      <c r="D6" s="294">
        <f>4890907.33+145686.16+398865.52+1102049.86+900725.96-9227.93</f>
        <v>7429006.9000000004</v>
      </c>
      <c r="E6" s="294">
        <f>245776.82+65191.75+29529.24</f>
        <v>340497.81</v>
      </c>
      <c r="F6" s="307">
        <f t="shared" ref="F6:F20" si="0">D6+E6</f>
        <v>7769504.71</v>
      </c>
      <c r="G6" s="297"/>
      <c r="H6" s="297"/>
      <c r="I6" s="126"/>
      <c r="N6"/>
    </row>
    <row r="7" spans="1:18" x14ac:dyDescent="0.2">
      <c r="A7" s="21" t="s">
        <v>1372</v>
      </c>
      <c r="B7" s="304">
        <f>IFERROR(VLOOKUP(A7,'School Tables'!$C$3:$D$365,2,FALSE),"")</f>
        <v>22525</v>
      </c>
      <c r="C7" s="297" t="str">
        <f>IFERROR(INDEX('School Tables'!$B$3:$B$365,MATCH('School Level Expenditures'!B7,'School Tables'!$D$3:$D$365,0)),"")</f>
        <v>Portsmouth</v>
      </c>
      <c r="D7" s="294">
        <f>3565383.87+145686.16+258616.05+1102049.88+585956.98-9227.94</f>
        <v>5648464.9999999991</v>
      </c>
      <c r="E7" s="294">
        <f>493080.09+65191.75+49215.4</f>
        <v>607487.24000000011</v>
      </c>
      <c r="F7" s="307">
        <f t="shared" si="0"/>
        <v>6255952.2399999993</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11019985</v>
      </c>
      <c r="G24" s="303">
        <f>'DOE25'!L230+'DOE25'!L310</f>
        <v>11019984.999999998</v>
      </c>
      <c r="H24" s="337">
        <f>F24-G24</f>
        <v>0</v>
      </c>
      <c r="I24" s="309" t="str">
        <f>IF(H24=0,"","Does not match DOE25 page 8 and 12 Totals!!")</f>
        <v/>
      </c>
      <c r="N24"/>
    </row>
    <row r="25" spans="1:14" x14ac:dyDescent="0.2">
      <c r="A25" s="21" t="s">
        <v>1370</v>
      </c>
      <c r="B25" s="304">
        <f>IFERROR(VLOOKUP(A25,'School Tables'!$I$3:$J$80,2,FALSE),"")</f>
        <v>22510</v>
      </c>
      <c r="C25" s="297" t="str">
        <f t="array" ref="C25">IFERROR(INDEX('School Tables'!$H$3:$H$80,MATCH('School Level Expenditures'!B25,'School Tables'!$J$3:$J$80,0)),"")</f>
        <v>Portsmouth</v>
      </c>
      <c r="D25" s="294">
        <v>10214221.890000001</v>
      </c>
      <c r="E25" s="294">
        <v>805763.11</v>
      </c>
      <c r="F25" s="307">
        <f>D25+E25</f>
        <v>11019985</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23.2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21312002.580000002</v>
      </c>
      <c r="G36" s="303">
        <f>'DOE25'!L248+'DOE25'!L329</f>
        <v>21312002.579999998</v>
      </c>
      <c r="H36" s="337">
        <f>F36-G36</f>
        <v>0</v>
      </c>
      <c r="I36" s="309" t="str">
        <f>IF(H36=0,"","Does not match DOE25 page 9 and 13 Totals!!")</f>
        <v/>
      </c>
      <c r="N36"/>
    </row>
    <row r="37" spans="1:14" x14ac:dyDescent="0.2">
      <c r="A37" s="21" t="s">
        <v>1374</v>
      </c>
      <c r="B37" s="304">
        <f>IFERROR(VLOOKUP(A37,'School Tables'!$O$3:$P$118,2,FALSE),"")</f>
        <v>22565</v>
      </c>
      <c r="C37" s="297" t="str">
        <f t="array" ref="C37">IFERROR(INDEX('School Tables'!$N$3:$N$118,MATCH('School Level Expenditures'!B37,'School Tables'!$P$3:$P$118,0)),"")</f>
        <v>Portsmouth</v>
      </c>
      <c r="D37" s="294">
        <v>18958131.73</v>
      </c>
      <c r="E37" s="294">
        <v>2353870.85</v>
      </c>
      <c r="F37" s="307">
        <f>D37+E37</f>
        <v>21312002.580000002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zoomScalePageLayoutView="80" workbookViewId="0">
      <pane ySplit="2" topLeftCell="A78" activePane="bottomLeft" state="frozen"/>
      <selection activeCell="F46" sqref="F46"/>
      <selection pane="bottomLeft" activeCell="A2" sqref="A2"/>
    </sheetView>
  </sheetViews>
  <sheetFormatPr defaultColWidth="9" defaultRowHeight="11.25" x14ac:dyDescent="0.2"/>
  <cols>
    <col min="1" max="1" width="52.83203125" customWidth="1"/>
    <col min="2" max="2" width="16.6640625" customWidth="1"/>
    <col min="3" max="3" width="19" customWidth="1"/>
    <col min="4" max="4" width="19.3320312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Portsmouth School Department - SAU 52</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27708.87</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511377.54</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24395.47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44900.369999999995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97004.709999999992</v>
      </c>
      <c r="E18" s="41">
        <f>SUM(E8:E17)</f>
        <v>511377.54</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27265.22</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640.65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67112.37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95018.239999999991</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1986.47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511377.54</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1986.47</v>
      </c>
      <c r="E50" s="41">
        <f>SUM(E34:E49)</f>
        <v>511377.54</v>
      </c>
      <c r="F50" s="41">
        <f>SUM(F34:F49)</f>
        <v>0</v>
      </c>
      <c r="G50" s="41">
        <f>SUM(G34:G49)</f>
        <v>0</v>
      </c>
      <c r="H50" s="124"/>
      <c r="I50" s="124"/>
    </row>
    <row r="51" spans="1:9" ht="12" thickTop="1" x14ac:dyDescent="0.2">
      <c r="A51" s="38" t="s">
        <v>885</v>
      </c>
      <c r="B51" s="2"/>
      <c r="C51" s="41">
        <f>C50+C31</f>
        <v>0</v>
      </c>
      <c r="D51" s="41">
        <f>D50+D31</f>
        <v>97004.709999999992</v>
      </c>
      <c r="E51" s="41">
        <f>E50+E31</f>
        <v>511377.54</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29858858.880000003</v>
      </c>
      <c r="D56" s="95">
        <f>'DOE25'!G60</f>
        <v>0</v>
      </c>
      <c r="E56" s="95">
        <f>'DOE25'!H60</f>
        <v>266153.02</v>
      </c>
      <c r="F56" s="95">
        <f>'DOE25'!I60</f>
        <v>0</v>
      </c>
      <c r="G56" s="95">
        <f>'DOE25'!J60</f>
        <v>0</v>
      </c>
      <c r="H56"/>
      <c r="I56"/>
    </row>
    <row r="57" spans="1:9" x14ac:dyDescent="0.2">
      <c r="A57" s="1" t="s">
        <v>164</v>
      </c>
      <c r="B57" s="6" t="s">
        <v>165</v>
      </c>
      <c r="C57" s="95">
        <f>'DOE25'!F79</f>
        <v>6525869.5499999998</v>
      </c>
      <c r="D57" s="24" t="s">
        <v>288</v>
      </c>
      <c r="E57" s="95">
        <f>'DOE25'!H79</f>
        <v>860363.23</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405132.62</v>
      </c>
      <c r="E60" s="24" t="s">
        <v>288</v>
      </c>
      <c r="F60" s="24" t="s">
        <v>288</v>
      </c>
      <c r="G60" s="24" t="s">
        <v>288</v>
      </c>
      <c r="H60"/>
      <c r="I60"/>
    </row>
    <row r="61" spans="1:9" ht="12" thickBot="1" x14ac:dyDescent="0.25">
      <c r="A61" s="1" t="s">
        <v>172</v>
      </c>
      <c r="B61" s="118" t="s">
        <v>173</v>
      </c>
      <c r="C61" s="95">
        <f>SUM('DOE25'!F98:F110)</f>
        <v>3191.25</v>
      </c>
      <c r="D61" s="95">
        <f>SUM('DOE25'!G98:G110)</f>
        <v>22453.31</v>
      </c>
      <c r="E61" s="95">
        <f>SUM('DOE25'!H98:H110)</f>
        <v>253785.71</v>
      </c>
      <c r="F61" s="95">
        <f>SUM('DOE25'!I98:I110)</f>
        <v>0</v>
      </c>
      <c r="G61" s="95">
        <f>SUM('DOE25'!J98:J110)</f>
        <v>0</v>
      </c>
      <c r="H61"/>
      <c r="I61"/>
    </row>
    <row r="62" spans="1:9" ht="12.75" thickTop="1" thickBot="1" x14ac:dyDescent="0.25">
      <c r="A62" s="29" t="s">
        <v>174</v>
      </c>
      <c r="B62" s="6"/>
      <c r="C62" s="130">
        <f>SUM(C57:C61)</f>
        <v>6529060.7999999998</v>
      </c>
      <c r="D62" s="130">
        <f>SUM(D57:D61)</f>
        <v>427585.93</v>
      </c>
      <c r="E62" s="130">
        <f>SUM(E57:E61)</f>
        <v>1114148.94</v>
      </c>
      <c r="F62" s="130">
        <f>SUM(F57:F61)</f>
        <v>0</v>
      </c>
      <c r="G62" s="130">
        <f>SUM(G57:G61)</f>
        <v>0</v>
      </c>
      <c r="H62"/>
      <c r="I62"/>
    </row>
    <row r="63" spans="1:9" ht="12" thickTop="1" x14ac:dyDescent="0.2">
      <c r="A63" s="29" t="s">
        <v>175</v>
      </c>
      <c r="B63" s="6"/>
      <c r="C63" s="22">
        <f>C56+C62</f>
        <v>36387919.68</v>
      </c>
      <c r="D63" s="22">
        <f>D56+D62</f>
        <v>427585.93</v>
      </c>
      <c r="E63" s="22">
        <f>E56+E62</f>
        <v>1380301.96</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11438069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1923.42</v>
      </c>
      <c r="D69" s="95">
        <f>'DOE25'!G120</f>
        <v>0</v>
      </c>
      <c r="E69" s="95">
        <f>'DOE25'!H120</f>
        <v>0</v>
      </c>
      <c r="F69" s="95">
        <f>'DOE25'!I120</f>
        <v>0</v>
      </c>
      <c r="G69" s="95">
        <f>'DOE25'!J120</f>
        <v>0</v>
      </c>
      <c r="H69"/>
      <c r="I69"/>
    </row>
    <row r="70" spans="1:9" ht="12" thickTop="1" x14ac:dyDescent="0.2">
      <c r="A70" s="29" t="s">
        <v>252</v>
      </c>
      <c r="B70" s="2"/>
      <c r="C70" s="139">
        <f>SUM(C66:C69)</f>
        <v>11439992.42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1863246.73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38223</v>
      </c>
      <c r="D74" s="24"/>
      <c r="E74" s="24"/>
      <c r="F74" s="24"/>
      <c r="G74" s="24"/>
      <c r="H74"/>
      <c r="I74"/>
    </row>
    <row r="75" spans="1:9" x14ac:dyDescent="0.2">
      <c r="A75" s="1" t="s">
        <v>256</v>
      </c>
      <c r="B75" s="6">
        <v>3230</v>
      </c>
      <c r="C75" s="95">
        <f>'DOE25'!F126</f>
        <v>266153.02</v>
      </c>
      <c r="D75" s="24" t="s">
        <v>288</v>
      </c>
      <c r="E75" s="24" t="s">
        <v>288</v>
      </c>
      <c r="F75" s="24" t="s">
        <v>288</v>
      </c>
      <c r="G75" s="24" t="s">
        <v>288</v>
      </c>
      <c r="H75"/>
      <c r="I75"/>
    </row>
    <row r="76" spans="1:9" x14ac:dyDescent="0.2">
      <c r="A76" s="1" t="s">
        <v>257</v>
      </c>
      <c r="B76" s="6" t="s">
        <v>179</v>
      </c>
      <c r="C76" s="95">
        <f>SUM('DOE25'!F127:F130)</f>
        <v>474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15550.83</v>
      </c>
      <c r="E77" s="95">
        <f>SUM('DOE25'!H131:H135)</f>
        <v>0</v>
      </c>
      <c r="F77" s="95">
        <f>SUM('DOE25'!I131:I135)</f>
        <v>0</v>
      </c>
      <c r="G77" s="95">
        <f>SUM('DOE25'!J131:J135)</f>
        <v>0</v>
      </c>
      <c r="H77"/>
      <c r="I77"/>
    </row>
    <row r="78" spans="1:9" ht="12.75" thickTop="1" thickBot="1" x14ac:dyDescent="0.25">
      <c r="A78" s="29" t="s">
        <v>259</v>
      </c>
      <c r="B78" s="6"/>
      <c r="C78" s="130">
        <f>SUM(C72:C77)</f>
        <v>2168096.75</v>
      </c>
      <c r="D78" s="130">
        <f>SUM(D72:D77)</f>
        <v>15550.83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13608089.17</v>
      </c>
      <c r="D81" s="130">
        <f>SUM(D79:D80)+D78+D70</f>
        <v>15550.83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266459.93</v>
      </c>
      <c r="E88" s="341">
        <f>SUM('DOE25'!H153:H162)</f>
        <v>1652836.7399999998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266459.93</v>
      </c>
      <c r="E91" s="131">
        <f>SUM(E85:E90)</f>
        <v>1652836.7399999998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186540.32</v>
      </c>
      <c r="E96" s="95">
        <f>'DOE25'!H180</f>
        <v>1564376</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186540.32</v>
      </c>
      <c r="E103" s="86">
        <f>SUM(E93:E102)</f>
        <v>1564376</v>
      </c>
      <c r="F103" s="86">
        <f>SUM(F93:F102)</f>
        <v>0</v>
      </c>
      <c r="G103" s="86">
        <f>SUM(G93:G102)</f>
        <v>0</v>
      </c>
    </row>
    <row r="104" spans="1:7" ht="12.75" thickTop="1" thickBot="1" x14ac:dyDescent="0.25">
      <c r="A104" s="33" t="s">
        <v>761</v>
      </c>
      <c r="C104" s="86">
        <f>C63+C81+C91+C103</f>
        <v>49996008.850000001</v>
      </c>
      <c r="D104" s="86">
        <f>D63+D81+D91+D103</f>
        <v>896137.01</v>
      </c>
      <c r="E104" s="86">
        <f>E63+E81+E91+E103</f>
        <v>4597514.6999999993</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22508200.960000001</v>
      </c>
      <c r="D109" s="24" t="s">
        <v>288</v>
      </c>
      <c r="E109" s="95">
        <f>('DOE25'!L277)+('DOE25'!L296)+('DOE25'!L315)</f>
        <v>445679.79000000004</v>
      </c>
      <c r="F109" s="24" t="s">
        <v>288</v>
      </c>
      <c r="G109" s="24" t="s">
        <v>288</v>
      </c>
    </row>
    <row r="110" spans="1:7" x14ac:dyDescent="0.2">
      <c r="A110" t="s">
        <v>198</v>
      </c>
      <c r="B110" s="32" t="s">
        <v>199</v>
      </c>
      <c r="C110" s="95">
        <f>('DOE25'!L199)+('DOE25'!L217)+('DOE25'!L235)</f>
        <v>5987850.9300000006</v>
      </c>
      <c r="D110" s="24" t="s">
        <v>288</v>
      </c>
      <c r="E110" s="95">
        <f>('DOE25'!L278)+('DOE25'!L297)+('DOE25'!L316)</f>
        <v>3115920.19</v>
      </c>
      <c r="F110" s="24" t="s">
        <v>288</v>
      </c>
      <c r="G110" s="24" t="s">
        <v>288</v>
      </c>
    </row>
    <row r="111" spans="1:7" x14ac:dyDescent="0.2">
      <c r="A111" t="s">
        <v>200</v>
      </c>
      <c r="B111" s="32" t="s">
        <v>165</v>
      </c>
      <c r="C111" s="95">
        <f>('DOE25'!L200)+('DOE25'!L218)+('DOE25'!L236)</f>
        <v>1486841.8599999999</v>
      </c>
      <c r="D111" s="24" t="s">
        <v>288</v>
      </c>
      <c r="E111" s="95">
        <f>('DOE25'!L279)+('DOE25'!L298)+('DOE25'!L317)</f>
        <v>81213.14</v>
      </c>
      <c r="F111" s="24" t="s">
        <v>288</v>
      </c>
      <c r="G111" s="24" t="s">
        <v>288</v>
      </c>
    </row>
    <row r="112" spans="1:7" x14ac:dyDescent="0.2">
      <c r="A112" t="s">
        <v>201</v>
      </c>
      <c r="B112" s="32" t="s">
        <v>167</v>
      </c>
      <c r="C112" s="95">
        <f>('DOE25'!L201)+('DOE25'!L219)+('DOE25'!L237)</f>
        <v>647371.38</v>
      </c>
      <c r="D112" s="24" t="s">
        <v>288</v>
      </c>
      <c r="E112" s="95">
        <f>+('DOE25'!L280)+('DOE25'!L299)+('DOE25'!L318)</f>
        <v>212690.83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30630265.129999999</v>
      </c>
      <c r="D115" s="86">
        <f>SUM(D109:D114)</f>
        <v>0</v>
      </c>
      <c r="E115" s="86">
        <f>SUM(E109:E114)</f>
        <v>3855503.95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5911887.6200000001</v>
      </c>
      <c r="D118" s="24" t="s">
        <v>288</v>
      </c>
      <c r="E118" s="95">
        <f>+('DOE25'!L282)+('DOE25'!L301)+('DOE25'!L320)</f>
        <v>61520.77</v>
      </c>
      <c r="F118" s="24" t="s">
        <v>288</v>
      </c>
      <c r="G118" s="24" t="s">
        <v>288</v>
      </c>
    </row>
    <row r="119" spans="1:7" x14ac:dyDescent="0.2">
      <c r="A119" t="s">
        <v>208</v>
      </c>
      <c r="B119" s="32" t="s">
        <v>209</v>
      </c>
      <c r="C119" s="95">
        <f>('DOE25'!L204)+('DOE25'!L222)+('DOE25'!L240)</f>
        <v>790690.10000000009</v>
      </c>
      <c r="D119" s="24" t="s">
        <v>288</v>
      </c>
      <c r="E119" s="95">
        <f>+('DOE25'!L283)+('DOE25'!L302)+('DOE25'!L321)</f>
        <v>72642.48000000001</v>
      </c>
      <c r="F119" s="24" t="s">
        <v>288</v>
      </c>
      <c r="G119" s="24" t="s">
        <v>288</v>
      </c>
    </row>
    <row r="120" spans="1:7" x14ac:dyDescent="0.2">
      <c r="A120" t="s">
        <v>210</v>
      </c>
      <c r="B120" s="32" t="s">
        <v>211</v>
      </c>
      <c r="C120" s="95">
        <f>('DOE25'!L205)+('DOE25'!L223)+('DOE25'!L241)</f>
        <v>1350094.64</v>
      </c>
      <c r="D120" s="24" t="s">
        <v>288</v>
      </c>
      <c r="E120" s="95">
        <f>+('DOE25'!L284)+('DOE25'!L303)+('DOE25'!L322)</f>
        <v>171862.43</v>
      </c>
      <c r="F120" s="24" t="s">
        <v>288</v>
      </c>
      <c r="G120" s="24" t="s">
        <v>288</v>
      </c>
    </row>
    <row r="121" spans="1:7" x14ac:dyDescent="0.2">
      <c r="A121" t="s">
        <v>212</v>
      </c>
      <c r="B121" s="32" t="s">
        <v>213</v>
      </c>
      <c r="C121" s="95">
        <f>('DOE25'!L206)+('DOE25'!L224)+('DOE25'!L242)</f>
        <v>2626240.5300000003</v>
      </c>
      <c r="D121" s="24" t="s">
        <v>288</v>
      </c>
      <c r="E121" s="95">
        <f>+('DOE25'!L285)+('DOE25'!L304)+('DOE25'!L323)</f>
        <v>136128.4</v>
      </c>
      <c r="F121" s="24" t="s">
        <v>288</v>
      </c>
      <c r="G121" s="24" t="s">
        <v>288</v>
      </c>
    </row>
    <row r="122" spans="1:7" x14ac:dyDescent="0.2">
      <c r="A122" t="s">
        <v>214</v>
      </c>
      <c r="B122" s="32" t="s">
        <v>215</v>
      </c>
      <c r="C122" s="95">
        <f>('DOE25'!L207)+('DOE25'!L225)+('DOE25'!L243)</f>
        <v>655464.02</v>
      </c>
      <c r="D122" s="24" t="s">
        <v>288</v>
      </c>
      <c r="E122" s="95">
        <f>+('DOE25'!L286)+('DOE25'!L305)+('DOE25'!L324)</f>
        <v>885.03</v>
      </c>
      <c r="F122" s="24" t="s">
        <v>288</v>
      </c>
      <c r="G122" s="24" t="s">
        <v>288</v>
      </c>
    </row>
    <row r="123" spans="1:7" x14ac:dyDescent="0.2">
      <c r="A123" t="s">
        <v>216</v>
      </c>
      <c r="B123" s="32" t="s">
        <v>217</v>
      </c>
      <c r="C123" s="95">
        <f>('DOE25'!L208)+('DOE25'!L226)+('DOE25'!L244)</f>
        <v>4100099.7399999998</v>
      </c>
      <c r="D123" s="24" t="s">
        <v>288</v>
      </c>
      <c r="E123" s="95">
        <f>+('DOE25'!L287)+('DOE25'!L306)+('DOE25'!L325)</f>
        <v>137141.56</v>
      </c>
      <c r="F123" s="24" t="s">
        <v>288</v>
      </c>
      <c r="G123" s="24" t="s">
        <v>288</v>
      </c>
    </row>
    <row r="124" spans="1:7" x14ac:dyDescent="0.2">
      <c r="A124" t="s">
        <v>218</v>
      </c>
      <c r="B124" s="32" t="s">
        <v>219</v>
      </c>
      <c r="C124" s="95">
        <f>('DOE25'!L209)+('DOE25'!L227)+('DOE25'!L245+'DOE25'!L255)</f>
        <v>1163404.8899999999</v>
      </c>
      <c r="D124" s="24" t="s">
        <v>288</v>
      </c>
      <c r="E124" s="95">
        <f>+('DOE25'!L288)+('DOE25'!L307)+('DOE25'!L326)</f>
        <v>38344.080000000002</v>
      </c>
      <c r="F124" s="24" t="s">
        <v>288</v>
      </c>
      <c r="G124" s="24" t="s">
        <v>288</v>
      </c>
    </row>
    <row r="125" spans="1:7" x14ac:dyDescent="0.2">
      <c r="A125" t="s">
        <v>220</v>
      </c>
      <c r="B125" s="32" t="s">
        <v>221</v>
      </c>
      <c r="C125" s="95">
        <f>('DOE25'!L210)+('DOE25'!L228)+('DOE25'!L246)</f>
        <v>1016945.86</v>
      </c>
      <c r="D125" s="24" t="s">
        <v>288</v>
      </c>
      <c r="E125" s="95">
        <f>+('DOE25'!L289)+('DOE25'!L308)+('DOE25'!L327)</f>
        <v>2246.86</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895136.60000000009</v>
      </c>
      <c r="E127" s="24" t="s">
        <v>288</v>
      </c>
      <c r="F127" s="24" t="s">
        <v>288</v>
      </c>
      <c r="G127" s="24" t="s">
        <v>288</v>
      </c>
    </row>
    <row r="128" spans="1:7" ht="12.75" thickTop="1" thickBot="1" x14ac:dyDescent="0.25">
      <c r="A128" s="33" t="s">
        <v>226</v>
      </c>
      <c r="C128" s="86">
        <f>SUM(C118:C127)</f>
        <v>17614827.400000002</v>
      </c>
      <c r="D128" s="86">
        <f>SUM(D118:D127)</f>
        <v>895136.60000000009</v>
      </c>
      <c r="E128" s="86">
        <f>SUM(E118:E127)</f>
        <v>620771.60999999987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186540.32</v>
      </c>
      <c r="D135" s="24" t="s">
        <v>288</v>
      </c>
      <c r="E135" s="129">
        <f>'DOE25'!L346</f>
        <v>0</v>
      </c>
      <c r="F135" s="24" t="s">
        <v>288</v>
      </c>
      <c r="G135" s="24" t="s">
        <v>288</v>
      </c>
    </row>
    <row r="136" spans="1:7" x14ac:dyDescent="0.2">
      <c r="A136" t="s">
        <v>235</v>
      </c>
      <c r="B136" s="32" t="s">
        <v>236</v>
      </c>
      <c r="C136" s="95">
        <f>'DOE25'!L265</f>
        <v>1564376</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1750916.32</v>
      </c>
      <c r="D144" s="141">
        <f>SUM(D130:D143)</f>
        <v>0</v>
      </c>
      <c r="E144" s="141">
        <f>SUM(E130:E143)</f>
        <v>0</v>
      </c>
      <c r="F144" s="141">
        <f>SUM(F130:F143)</f>
        <v>0</v>
      </c>
      <c r="G144" s="141">
        <f>SUM(G130:G143)</f>
        <v>0</v>
      </c>
    </row>
    <row r="145" spans="1:9" ht="12.75" thickTop="1" thickBot="1" x14ac:dyDescent="0.25">
      <c r="A145" s="33" t="s">
        <v>244</v>
      </c>
      <c r="C145" s="86">
        <f>(C115+C128+C144)</f>
        <v>49996008.850000001</v>
      </c>
      <c r="D145" s="86">
        <f>(D115+D128+D144)</f>
        <v>895136.60000000009</v>
      </c>
      <c r="E145" s="86">
        <f>(E115+E128+E144)</f>
        <v>4476275.5600000005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headerFooter alignWithMargins="0">
    <oddHeader>&amp;C&amp;A
2019-2020</oddHeader>
    <oddFooter>&amp;CPage &amp;P&amp;R&amp;D&amp;T</oddFooter>
  </headerFooter>
  <rowBreaks count="3" manualBreakCount="3">
    <brk id="82" max="16383" man="1"/>
    <brk id="105" max="16383" man="1"/>
    <brk id="146" max="16383"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B2" sqref="B2"/>
    </sheetView>
  </sheetViews>
  <sheetFormatPr defaultColWidth="9" defaultRowHeight="11.25" x14ac:dyDescent="0.2"/>
  <cols>
    <col min="1" max="1" width="14.33203125" customWidth="1"/>
    <col min="2" max="2" width="49" bestFit="1" customWidth="1"/>
    <col min="3" max="3" width="13.33203125" customWidth="1"/>
    <col min="4" max="4" width="10.33203125" customWidth="1"/>
  </cols>
  <sheetData>
    <row r="1" spans="1:4" ht="18" x14ac:dyDescent="0.25">
      <c r="A1" s="353" t="s">
        <v>736</v>
      </c>
      <c r="B1" s="353"/>
      <c r="C1" s="353"/>
      <c r="D1" s="353"/>
    </row>
    <row r="2" spans="1:4" x14ac:dyDescent="0.2">
      <c r="A2" s="187" t="s">
        <v>713</v>
      </c>
      <c r="B2" s="186" t="str">
        <f>'DOE25'!A2</f>
        <v>Portsmouth School Department - SAU 52</v>
      </c>
    </row>
    <row r="3" spans="1:4" x14ac:dyDescent="0.2">
      <c r="B3" s="188" t="s">
        <v>1587</v>
      </c>
    </row>
    <row r="4" spans="1:4" x14ac:dyDescent="0.2">
      <c r="B4" t="s">
        <v>61</v>
      </c>
      <c r="C4" s="179">
        <f>IF('DOE25'!F666+'DOE25'!F671=0,0,ROUND('DOE25'!F673,0))</f>
        <v>20159</v>
      </c>
    </row>
    <row r="5" spans="1:4" x14ac:dyDescent="0.2">
      <c r="B5" t="s">
        <v>700</v>
      </c>
      <c r="C5" s="179">
        <f>IF('DOE25'!G666+'DOE25'!G671=0,0,ROUND('DOE25'!G673,0))</f>
        <v>20089</v>
      </c>
    </row>
    <row r="6" spans="1:4" x14ac:dyDescent="0.2">
      <c r="B6" t="s">
        <v>62</v>
      </c>
      <c r="C6" s="179">
        <f>IF('DOE25'!H666+'DOE25'!H671=0,0,ROUND('DOE25'!H673,0))</f>
        <v>18059</v>
      </c>
    </row>
    <row r="7" spans="1:4" x14ac:dyDescent="0.2">
      <c r="B7" t="s">
        <v>701</v>
      </c>
      <c r="C7" s="179">
        <f>IF('DOE25'!I666+'DOE25'!I671=0,0,ROUND('DOE25'!I673,0))</f>
        <v>19236</v>
      </c>
    </row>
    <row r="9" spans="1:4" x14ac:dyDescent="0.2">
      <c r="A9" s="187" t="s">
        <v>94</v>
      </c>
      <c r="B9" s="188" t="s">
        <v>1588</v>
      </c>
      <c r="C9" s="181" t="s">
        <v>720</v>
      </c>
      <c r="D9" s="181" t="s">
        <v>721</v>
      </c>
    </row>
    <row r="10" spans="1:4" x14ac:dyDescent="0.2">
      <c r="A10">
        <v>1100</v>
      </c>
      <c r="B10" t="s">
        <v>702</v>
      </c>
      <c r="C10" s="179">
        <f>ROUND('DOE25'!L198+'DOE25'!L216+'DOE25'!L234+'DOE25'!L277+'DOE25'!L296+'DOE25'!L315,0)</f>
        <v>22953881</v>
      </c>
      <c r="D10" s="182">
        <f>ROUND((C10/$C$28)*100,1)</f>
        <v>43.2</v>
      </c>
    </row>
    <row r="11" spans="1:4" x14ac:dyDescent="0.2">
      <c r="A11">
        <v>1200</v>
      </c>
      <c r="B11" t="s">
        <v>703</v>
      </c>
      <c r="C11" s="179">
        <f>ROUND('DOE25'!L199+'DOE25'!L217+'DOE25'!L235+'DOE25'!L278+'DOE25'!L297+'DOE25'!L316,0)</f>
        <v>9103771</v>
      </c>
      <c r="D11" s="182">
        <f>ROUND((C11/$C$28)*100,1)</f>
        <v>17.100000000000001</v>
      </c>
    </row>
    <row r="12" spans="1:4" x14ac:dyDescent="0.2">
      <c r="A12">
        <v>1300</v>
      </c>
      <c r="B12" t="s">
        <v>704</v>
      </c>
      <c r="C12" s="179">
        <f>ROUND('DOE25'!L200+'DOE25'!L218+'DOE25'!L236+'DOE25'!L279+'DOE25'!L298+'DOE25'!L317,0)</f>
        <v>1568055</v>
      </c>
      <c r="D12" s="182">
        <f>ROUND((C12/$C$28)*100,1)</f>
        <v>2.9</v>
      </c>
    </row>
    <row r="13" spans="1:4" x14ac:dyDescent="0.2">
      <c r="A13">
        <v>1400</v>
      </c>
      <c r="B13" t="s">
        <v>705</v>
      </c>
      <c r="C13" s="179">
        <f>ROUND('DOE25'!L201+'DOE25'!L219+'DOE25'!L237+'DOE25'!L280+'DOE25'!L299+'DOE25'!L318,0)</f>
        <v>860062</v>
      </c>
      <c r="D13" s="182">
        <f>ROUND((C13/$C$28)*100,1)</f>
        <v>1.6</v>
      </c>
    </row>
    <row r="14" spans="1:4" x14ac:dyDescent="0.2">
      <c r="D14" s="182"/>
    </row>
    <row r="15" spans="1:4" x14ac:dyDescent="0.2">
      <c r="A15">
        <v>2100</v>
      </c>
      <c r="B15" t="s">
        <v>706</v>
      </c>
      <c r="C15" s="179">
        <f>ROUND('DOE25'!L203+'DOE25'!L221+'DOE25'!L239+'DOE25'!L282+'DOE25'!L301+'DOE25'!L320,0)</f>
        <v>5973408</v>
      </c>
      <c r="D15" s="182">
        <f t="shared" ref="D15:D27" si="0">ROUND((C15/$C$28)*100,1)</f>
        <v>11.2</v>
      </c>
    </row>
    <row r="16" spans="1:4" x14ac:dyDescent="0.2">
      <c r="A16">
        <v>2200</v>
      </c>
      <c r="B16" t="s">
        <v>707</v>
      </c>
      <c r="C16" s="179">
        <f>ROUND('DOE25'!L204+'DOE25'!L222+'DOE25'!L240+'DOE25'!L283+'DOE25'!L302+'DOE25'!L321,0)</f>
        <v>863333</v>
      </c>
      <c r="D16" s="182">
        <f t="shared" si="0"/>
        <v>1.6</v>
      </c>
    </row>
    <row r="17" spans="1:4" x14ac:dyDescent="0.2">
      <c r="A17" s="183" t="s">
        <v>723</v>
      </c>
      <c r="B17" t="s">
        <v>738</v>
      </c>
      <c r="C17" s="179">
        <f>ROUND('DOE25'!L205+'DOE25'!L210+'DOE25'!L223+'DOE25'!L228+'DOE25'!L241+'DOE25'!L246+'DOE25'!L284+'DOE25'!L289+'DOE25'!L303+'DOE25'!L308+'DOE25'!L322+'DOE25'!L327,0)</f>
        <v>2541150</v>
      </c>
      <c r="D17" s="182">
        <f t="shared" si="0"/>
        <v>4.8</v>
      </c>
    </row>
    <row r="18" spans="1:4" x14ac:dyDescent="0.2">
      <c r="A18">
        <v>2400</v>
      </c>
      <c r="B18" t="s">
        <v>711</v>
      </c>
      <c r="C18" s="179">
        <f>ROUND('DOE25'!L206+'DOE25'!L224+'DOE25'!L242+'DOE25'!L285+'DOE25'!L304+'DOE25'!L323,0)</f>
        <v>2762369</v>
      </c>
      <c r="D18" s="182">
        <f t="shared" si="0"/>
        <v>5.2</v>
      </c>
    </row>
    <row r="19" spans="1:4" x14ac:dyDescent="0.2">
      <c r="A19">
        <v>2500</v>
      </c>
      <c r="B19" t="s">
        <v>708</v>
      </c>
      <c r="C19" s="179">
        <f>ROUND('DOE25'!L207+'DOE25'!L225+'DOE25'!L243+'DOE25'!L286+'DOE25'!L305+'DOE25'!L324,0)</f>
        <v>656349</v>
      </c>
      <c r="D19" s="182">
        <f t="shared" si="0"/>
        <v>1.2</v>
      </c>
    </row>
    <row r="20" spans="1:4" x14ac:dyDescent="0.2">
      <c r="A20">
        <v>2600</v>
      </c>
      <c r="B20" t="s">
        <v>709</v>
      </c>
      <c r="C20" s="179">
        <f>ROUND('DOE25'!L208+'DOE25'!L226+'DOE25'!L244+'DOE25'!L287+'DOE25'!L306+'DOE25'!L325,0)</f>
        <v>4237241</v>
      </c>
      <c r="D20" s="182">
        <f t="shared" si="0"/>
        <v>8</v>
      </c>
    </row>
    <row r="21" spans="1:4" x14ac:dyDescent="0.2">
      <c r="A21">
        <v>2700</v>
      </c>
      <c r="B21" t="s">
        <v>710</v>
      </c>
      <c r="C21" s="179">
        <f>ROUND('DOE25'!L209+'DOE25'!L227+'DOE25'!L245+'DOE25'!L288+'DOE25'!L307+'DOE25'!L326,0)</f>
        <v>1201749</v>
      </c>
      <c r="D21" s="182">
        <f t="shared" si="0"/>
        <v>2.2999999999999998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467551.07</v>
      </c>
      <c r="D27" s="182">
        <f t="shared" si="0"/>
        <v>0.9</v>
      </c>
    </row>
    <row r="28" spans="1:4" x14ac:dyDescent="0.2">
      <c r="B28" s="187" t="s">
        <v>719</v>
      </c>
      <c r="C28" s="180">
        <f>SUM(C10:C27)</f>
        <v>53188919.07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53188919.07</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30125012</v>
      </c>
      <c r="D35" s="182">
        <f t="shared" ref="D35:D40" si="1">ROUND((C35/$C$41)*100,1)</f>
        <v>56.5</v>
      </c>
    </row>
    <row r="36" spans="1:4" x14ac:dyDescent="0.2">
      <c r="B36" s="185" t="s">
        <v>739</v>
      </c>
      <c r="C36" s="179">
        <f>SUM('DOE25'!F112:J112)-SUM('DOE25'!G97:G110)+('DOE25'!F175+'DOE25'!F176+'DOE25'!I175+'DOE25'!I176)-C35</f>
        <v>7643209.6400000006</v>
      </c>
      <c r="D36" s="182">
        <f t="shared" si="1"/>
        <v>14.3</v>
      </c>
    </row>
    <row r="37" spans="1:4" x14ac:dyDescent="0.2">
      <c r="A37" s="183" t="s">
        <v>835</v>
      </c>
      <c r="B37" s="185" t="s">
        <v>728</v>
      </c>
      <c r="C37" s="179">
        <f>ROUND('DOE25'!F117+'DOE25'!F118,0)</f>
        <v>11438069</v>
      </c>
      <c r="D37" s="182">
        <f t="shared" si="1"/>
        <v>21.5</v>
      </c>
    </row>
    <row r="38" spans="1:4" x14ac:dyDescent="0.2">
      <c r="A38" s="183" t="s">
        <v>734</v>
      </c>
      <c r="B38" s="185" t="s">
        <v>729</v>
      </c>
      <c r="C38" s="179">
        <f>ROUND(SUM('DOE25'!F140:J140)-SUM('DOE25'!F117:F119),0)</f>
        <v>2185571</v>
      </c>
      <c r="D38" s="182">
        <f t="shared" si="1"/>
        <v>4.0999999999999996</v>
      </c>
    </row>
    <row r="39" spans="1:4" x14ac:dyDescent="0.2">
      <c r="A39">
        <v>4000</v>
      </c>
      <c r="B39" s="185" t="s">
        <v>730</v>
      </c>
      <c r="C39" s="179">
        <f>ROUND('DOE25'!F170+'DOE25'!G170+'DOE25'!H170+'DOE25'!I170,0)</f>
        <v>1919297</v>
      </c>
      <c r="D39" s="182">
        <f t="shared" si="1"/>
        <v>3.6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53311158.640000001</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headerFooter alignWithMargins="0">
    <oddHeader>&amp;A</oddHeader>
    <oddFooter>Page &amp;P</oddFooter>
  </headerFooter>
  <ignoredErrors>
    <ignoredError sqref="D10:D28" evalError="1"/>
  </ignoredError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9"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Portsmouth School Department - SAU 52</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headerFooter alignWithMargins="0">
    <oddHeader>&amp;LDistrict Notes</oddHeader>
    <oddFooter>&amp;CPage &amp;P of &amp;N</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ColWidth="9"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2020-11-20T19:58:03Z</cp:lastPrinted>
  <dcterms:created xsi:type="dcterms:W3CDTF">1997-12-04T19:04:30Z</dcterms:created>
  <dcterms:modified xsi:type="dcterms:W3CDTF">2020-12-11T20:30:03Z</dcterms:modified>
</cp:coreProperties>
</file>