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H583" i="1" l="1"/>
  <c r="J598" i="1"/>
  <c r="I598" i="1"/>
  <c r="I596" i="1"/>
  <c r="J595" i="1"/>
  <c r="I595" i="1"/>
  <c r="I593" i="1"/>
  <c r="H234" i="1"/>
  <c r="F57" i="1"/>
  <c r="F316" i="1" l="1"/>
  <c r="K322" i="1"/>
  <c r="H321" i="1"/>
  <c r="G316" i="1"/>
  <c r="G321" i="1"/>
  <c r="G302" i="1"/>
  <c r="F321" i="1"/>
  <c r="H316" i="1"/>
  <c r="I315" i="1"/>
  <c r="F102" i="1" l="1"/>
  <c r="H241" i="1"/>
  <c r="H223"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C12" i="10" s="1"/>
  <c r="L237" i="1"/>
  <c r="C112" i="2" s="1"/>
  <c r="G6" i="13"/>
  <c r="H6" i="13"/>
  <c r="L203" i="1"/>
  <c r="L221" i="1"/>
  <c r="L239" i="1"/>
  <c r="G7" i="13"/>
  <c r="H7" i="13"/>
  <c r="L204" i="1"/>
  <c r="L222" i="1"/>
  <c r="L240" i="1"/>
  <c r="G12" i="13"/>
  <c r="H12" i="13"/>
  <c r="L206" i="1"/>
  <c r="L224" i="1"/>
  <c r="L242" i="1"/>
  <c r="G14" i="13"/>
  <c r="H14" i="13"/>
  <c r="L208" i="1"/>
  <c r="L226" i="1"/>
  <c r="C20" i="10" s="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36" i="1"/>
  <c r="I121" i="1"/>
  <c r="I136" i="1"/>
  <c r="J121" i="1"/>
  <c r="J136" i="1"/>
  <c r="F147" i="1"/>
  <c r="F170" i="1" s="1"/>
  <c r="G147" i="1"/>
  <c r="D85" i="2" s="1"/>
  <c r="H147" i="1"/>
  <c r="H170" i="1"/>
  <c r="I147" i="1"/>
  <c r="C13"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19" i="2"/>
  <c r="E121" i="2"/>
  <c r="E123"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J258"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G635" i="1"/>
  <c r="H636" i="1"/>
  <c r="H637" i="1"/>
  <c r="H638" i="1"/>
  <c r="H639" i="1"/>
  <c r="G644" i="1"/>
  <c r="G645" i="1"/>
  <c r="G652" i="1"/>
  <c r="G653" i="1"/>
  <c r="H653" i="1"/>
  <c r="G654" i="1"/>
  <c r="H654" i="1"/>
  <c r="G655" i="1"/>
  <c r="H655" i="1"/>
  <c r="H656" i="1"/>
  <c r="J656" i="1" s="1"/>
  <c r="I170" i="1"/>
  <c r="J140" i="1"/>
  <c r="H140" i="1"/>
  <c r="H112" i="1" l="1"/>
  <c r="C32" i="10"/>
  <c r="H462" i="1"/>
  <c r="H642" i="1" s="1"/>
  <c r="H409" i="1"/>
  <c r="H645" i="1" s="1"/>
  <c r="L257" i="1"/>
  <c r="G646" i="1"/>
  <c r="G663" i="1"/>
  <c r="E125" i="2"/>
  <c r="A31" i="12"/>
  <c r="J652" i="1"/>
  <c r="H477" i="1"/>
  <c r="H625" i="1" s="1"/>
  <c r="G477" i="1"/>
  <c r="L402" i="1"/>
  <c r="C139" i="2" s="1"/>
  <c r="G553" i="1"/>
  <c r="G662" i="1"/>
  <c r="C91" i="2"/>
  <c r="K339" i="1"/>
  <c r="K353" i="1" s="1"/>
  <c r="C131" i="2"/>
  <c r="C119" i="2"/>
  <c r="C11" i="10"/>
  <c r="G339" i="1"/>
  <c r="G353" i="1" s="1"/>
  <c r="F258" i="1"/>
  <c r="F272" i="1" s="1"/>
  <c r="G651" i="1"/>
  <c r="J651" i="1" s="1"/>
  <c r="D15" i="13"/>
  <c r="C15" i="13" s="1"/>
  <c r="C121" i="2"/>
  <c r="C120" i="2"/>
  <c r="D6" i="13"/>
  <c r="C6" i="13" s="1"/>
  <c r="C110"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H649" i="1"/>
  <c r="J653" i="1"/>
  <c r="G572" i="1"/>
  <c r="I435" i="1"/>
  <c r="G435" i="1"/>
  <c r="I664" i="1"/>
  <c r="E128" i="2" l="1"/>
  <c r="E145" i="2" s="1"/>
  <c r="C141" i="2"/>
  <c r="C144" i="2" s="1"/>
  <c r="F194" i="1"/>
  <c r="G36" i="14"/>
  <c r="H36" i="14" s="1"/>
  <c r="I36" i="14" s="1"/>
  <c r="H661" i="1"/>
  <c r="H665" i="1" s="1"/>
  <c r="H668" i="1" s="1"/>
  <c r="G24" i="14"/>
  <c r="H24" i="14" s="1"/>
  <c r="I24"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<sst xmlns="http://schemas.openxmlformats.org/spreadsheetml/2006/main" count="5559" uniqueCount="1645">
  <si>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</si>
  <si>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</si>
  <si>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</si>
  <si>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</si>
  <si>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</si>
  <si>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</si>
  <si>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</si>
  <si>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</si>
  <si>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</si>
  <si>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</si>
  <si>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</si>
  <si>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</si>
  <si>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</si>
  <si>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</si>
  <si>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</si>
  <si>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</si>
  <si>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</si>
  <si>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</si>
  <si>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</si>
  <si>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</si>
  <si>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</si>
  <si>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</si>
  <si>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</si>
  <si>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</si>
  <si>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</si>
  <si>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</si>
  <si>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</si>
  <si>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</si>
  <si>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</si>
  <si>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</si>
  <si>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</si>
  <si>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</si>
  <si>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</si>
  <si>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</si>
  <si>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</si>
  <si>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</si>
  <si>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</si>
  <si>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</si>
  <si>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</si>
  <si>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</si>
  <si>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</si>
  <si>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</si>
  <si>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</si>
  <si>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</si>
  <si>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</si>
  <si>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</si>
  <si>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</si>
  <si>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</si>
  <si>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</si>
  <si>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</si>
  <si>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</si>
  <si>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</si>
  <si>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</si>
  <si>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</si>
  <si>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</si>
  <si>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</si>
  <si>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</si>
  <si>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</si>
  <si>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</si>
  <si>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</si>
  <si>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</si>
  <si>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</si>
  <si>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</si>
  <si>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</si>
  <si>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</si>
  <si>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</si>
  <si>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</si>
  <si>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</si>
  <si>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</si>
  <si>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</si>
  <si>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</si>
  <si>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</si>
  <si>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</si>
  <si>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</si>
  <si>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</si>
  <si>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</si>
  <si>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</si>
  <si>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</si>
  <si>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</si>
  <si>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</si>
  <si>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</si>
  <si>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</si>
  <si>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</si>
  <si>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</si>
  <si>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</si>
  <si>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</si>
  <si>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</si>
  <si>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</si>
  <si>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</si>
  <si>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</si>
  <si>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</si>
  <si>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</si>
  <si>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</si>
  <si>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</si>
  <si>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</si>
  <si>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</si>
  <si>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</si>
  <si>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</si>
  <si>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</si>
  <si>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</si>
  <si>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</si>
  <si>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</si>
  <si>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</si>
  <si>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</si>
  <si>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</si>
  <si>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</si>
  <si>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</si>
  <si>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</si>
  <si>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</si>
  <si>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</si>
  <si>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</si>
  <si>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</si>
  <si>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</si>
  <si>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</si>
  <si>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</si>
  <si>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</si>
  <si>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</si>
  <si>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</si>
  <si>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</si>
  <si>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</si>
  <si>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</si>
  <si>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</si>
  <si>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</si>
  <si>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</si>
  <si>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</si>
  <si>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</si>
  <si>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</si>
  <si>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</si>
  <si>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</si>
  <si>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</si>
  <si>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</si>
  <si>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</si>
  <si>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</si>
  <si>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</si>
  <si>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</si>
  <si>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</si>
  <si>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</si>
  <si>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</si>
  <si>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</si>
  <si>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</si>
  <si>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</si>
  <si>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</si>
  <si>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</si>
  <si>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</si>
  <si>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</si>
  <si>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</si>
  <si>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</si>
  <si>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</si>
  <si>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</si>
  <si>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</si>
  <si>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</si>
  <si>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</si>
  <si>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</si>
  <si>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</si>
  <si>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</si>
  <si>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</si>
  <si>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</si>
  <si>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</si>
  <si>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</si>
  <si>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</si>
  <si>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</si>
  <si>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</si>
  <si>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</si>
  <si>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</si>
  <si>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</si>
  <si>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</si>
  <si>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</si>
  <si>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</si>
  <si>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</si>
  <si>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</si>
  <si>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</si>
  <si>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</si>
  <si>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</si>
  <si>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</si>
  <si>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</si>
  <si>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</si>
  <si>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</si>
  <si>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</si>
  <si>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</si>
  <si>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</si>
  <si>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</si>
  <si>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</si>
  <si>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</si>
  <si>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</si>
  <si>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</si>
  <si>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</si>
  <si>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</si>
  <si>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</si>
  <si>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</si>
  <si>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</si>
  <si>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</si>
  <si>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</si>
  <si>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</si>
  <si>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</si>
  <si>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</si>
  <si>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</si>
  <si>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</si>
  <si>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</si>
  <si>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</si>
  <si>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</si>
  <si>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</si>
  <si>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</si>
  <si>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</si>
  <si>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</si>
  <si>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</si>
  <si>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</si>
  <si>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</si>
  <si>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</si>
  <si>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</si>
  <si>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</si>
  <si>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</si>
  <si>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</si>
  <si>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</si>
  <si>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</si>
  <si>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</si>
  <si>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</si>
  <si>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</si>
  <si>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</si>
  <si>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</si>
  <si>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</si>
  <si>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</si>
  <si>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</si>
  <si>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</si>
  <si>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</si>
  <si>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</si>
  <si>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</si>
  <si>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</si>
  <si>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</si>
  <si>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</si>
  <si>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</si>
  <si>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</si>
  <si>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</si>
  <si>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</si>
  <si>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</si>
  <si>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</si>
  <si>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</si>
  <si>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</si>
  <si>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</si>
  <si>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</si>
  <si>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</si>
  <si>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</si>
  <si>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</si>
  <si>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</si>
  <si>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</si>
  <si>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</si>
  <si>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</si>
  <si>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</si>
  <si>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</si>
  <si>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</si>
  <si>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</si>
  <si>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</si>
  <si>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</si>
  <si>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</si>
  <si>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</si>
  <si>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</si>
  <si>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</si>
  <si>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</si>
  <si>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</si>
  <si>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</si>
  <si>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</si>
  <si>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</si>
  <si>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</si>
  <si>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</si>
  <si>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</si>
  <si>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</si>
  <si>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</si>
  <si>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</si>
  <si>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</si>
  <si>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</si>
  <si>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</si>
  <si>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</si>
  <si>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</si>
  <si>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</si>
  <si>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</si>
  <si>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</si>
  <si>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</si>
  <si>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</si>
  <si>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</si>
  <si>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</si>
  <si>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</si>
  <si>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</si>
  <si>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</si>
  <si>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</si>
  <si>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</si>
  <si>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</si>
  <si>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</si>
  <si>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</si>
  <si>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</si>
  <si>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</si>
  <si>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</si>
  <si>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</si>
  <si>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</si>
  <si>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</si>
  <si>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</si>
  <si>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</si>
  <si>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</si>
  <si>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</si>
  <si>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</si>
  <si>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</si>
  <si>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</si>
  <si>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</si>
  <si>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</si>
  <si>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</si>
  <si>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</si>
  <si>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</si>
  <si>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</si>
  <si>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</si>
  <si>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</si>
  <si>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</si>
  <si>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</si>
  <si>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</si>
  <si>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</si>
  <si>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</si>
  <si>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</si>
  <si>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</si>
  <si>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</si>
  <si>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</si>
  <si>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</si>
  <si>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</si>
  <si>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</si>
  <si>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</si>
  <si>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</si>
  <si>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</si>
  <si>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</si>
  <si>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</si>
  <si>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</si>
  <si>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</si>
  <si>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</si>
  <si>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</si>
  <si>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</si>
  <si>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</si>
  <si>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</si>
  <si>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</si>
  <si>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</si>
  <si>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</si>
  <si>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</si>
  <si>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</si>
  <si>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</si>
  <si>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</si>
  <si>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</si>
  <si>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</si>
  <si>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</si>
  <si>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</si>
  <si>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</si>
  <si>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</si>
  <si>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</si>
  <si>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</si>
  <si>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</si>
  <si>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</si>
  <si>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</si>
  <si>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</si>
  <si>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</si>
  <si>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</si>
  <si>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</si>
  <si>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</si>
  <si>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</si>
  <si>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</si>
  <si>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</si>
  <si>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</si>
  <si>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</si>
  <si>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</si>
  <si>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</si>
  <si>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</si>
  <si>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</si>
  <si>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</si>
  <si>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</si>
  <si>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</si>
  <si>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</si>
  <si>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</si>
  <si>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</si>
  <si>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</si>
  <si>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</si>
  <si>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</si>
  <si>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</si>
  <si>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</si>
  <si>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</si>
  <si>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</si>
  <si>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</si>
  <si>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</si>
  <si>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</si>
  <si>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</si>
  <si>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</si>
  <si>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</si>
  <si>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</si>
  <si>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</si>
  <si>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</si>
  <si>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</si>
  <si>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</si>
  <si>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</si>
  <si>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</si>
  <si>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</si>
  <si>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</si>
  <si>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</si>
  <si>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</si>
  <si>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</si>
  <si>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</si>
  <si>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</si>
  <si>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</si>
  <si>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</si>
  <si>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</si>
  <si>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</si>
  <si>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</si>
  <si>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</si>
  <si>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</si>
  <si>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</si>
  <si>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</si>
  <si>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</si>
  <si>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</si>
  <si>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</si>
  <si>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</si>
  <si>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</si>
  <si>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</si>
  <si>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</si>
  <si>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</si>
  <si>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</si>
  <si>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</si>
  <si>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</si>
  <si>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</si>
  <si>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</si>
  <si>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</si>
  <si>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</si>
  <si>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</si>
  <si>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</si>
  <si>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</si>
  <si>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</si>
  <si>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</si>
  <si>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</si>
  <si>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</si>
  <si>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</si>
  <si>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</si>
  <si>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</si>
  <si>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</si>
  <si>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</si>
  <si>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</si>
  <si>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</si>
  <si>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</si>
  <si>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</si>
  <si>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</si>
  <si>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</si>
  <si>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</si>
  <si>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</si>
  <si>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</si>
  <si>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</si>
  <si>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</si>
  <si>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</si>
  <si>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</si>
  <si>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</si>
  <si>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</si>
  <si>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</si>
  <si>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</si>
  <si>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</si>
  <si>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</si>
  <si>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</si>
  <si>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</si>
  <si>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</si>
  <si>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</si>
  <si>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</si>
  <si>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</si>
  <si>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</si>
  <si>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</si>
  <si>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</si>
  <si>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</si>
  <si>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</si>
  <si>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</si>
  <si>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</si>
  <si>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</si>
  <si>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</si>
  <si>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</si>
  <si>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</si>
  <si>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</si>
  <si>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</si>
  <si>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</si>
  <si>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</si>
  <si>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</si>
  <si>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</si>
  <si>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</si>
  <si>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</si>
  <si>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</si>
  <si>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</si>
  <si>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</si>
  <si>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</si>
  <si>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</si>
  <si>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</si>
  <si>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</si>
  <si>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</si>
  <si>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</si>
  <si>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</si>
  <si>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</si>
  <si>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</si>
  <si>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</si>
  <si>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</si>
  <si>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</si>
  <si>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</si>
  <si>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</si>
  <si>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</si>
  <si>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</si>
  <si>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</si>
  <si>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</si>
  <si>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</si>
  <si>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</si>
  <si>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</si>
  <si>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</si>
  <si>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</si>
  <si>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</si>
  <si>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</si>
  <si>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</si>
  <si>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</si>
  <si>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</si>
  <si>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</si>
  <si>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</si>
  <si>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</si>
  <si>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</si>
  <si>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</si>
  <si>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</si>
  <si>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</si>
  <si>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</si>
  <si>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</si>
  <si>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</si>
  <si>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</si>
  <si>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</si>
  <si>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</si>
  <si>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</si>
  <si>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</si>
  <si>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</si>
  <si>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</si>
  <si>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</si>
  <si>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</si>
  <si>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</si>
  <si>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</si>
  <si>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</si>
  <si>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</si>
  <si>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</si>
  <si>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</si>
  <si>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</si>
  <si>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</si>
  <si>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</si>
  <si>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</si>
  <si>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</si>
  <si>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</si>
  <si>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</si>
  <si>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</si>
  <si>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</si>
  <si>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</si>
  <si>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</si>
  <si>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</si>
  <si>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</si>
  <si>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</si>
  <si>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</si>
  <si>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</si>
  <si>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</si>
  <si>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</si>
  <si>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</si>
  <si>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</si>
  <si>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</si>
  <si>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</si>
  <si>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</si>
  <si>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</si>
  <si>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</si>
  <si>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</si>
  <si>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</si>
  <si>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</si>
  <si>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</si>
  <si>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</si>
  <si>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</si>
  <si>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</si>
  <si>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</si>
  <si>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</si>
  <si>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</si>
  <si>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</si>
  <si>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</si>
  <si>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</si>
  <si>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</si>
  <si>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</si>
  <si>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</si>
  <si>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</si>
  <si>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</si>
  <si>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</si>
  <si>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</si>
  <si>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</si>
  <si>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</si>
  <si>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</si>
  <si>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</si>
  <si>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</si>
  <si>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</si>
  <si>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</si>
  <si>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</si>
  <si>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</si>
  <si>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</si>
  <si>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</si>
  <si>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</si>
  <si>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</si>
  <si>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</si>
  <si>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</si>
  <si>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</si>
  <si>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</si>
  <si>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</si>
  <si>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</si>
  <si>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</si>
  <si>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</si>
  <si>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</si>
  <si>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</si>
  <si>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</si>
  <si>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</si>
  <si>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</si>
  <si>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</si>
  <si>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</si>
  <si>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</si>
  <si>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</si>
  <si>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</si>
  <si>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</si>
  <si>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</si>
  <si>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</si>
  <si>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</si>
  <si>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</si>
  <si>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</si>
  <si>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</si>
  <si>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</si>
  <si>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</si>
  <si>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</si>
  <si>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</si>
  <si>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</si>
  <si>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</si>
  <si>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</si>
  <si>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</si>
  <si>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</si>
  <si>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</si>
  <si>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</si>
  <si>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</si>
  <si>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</si>
  <si>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</si>
  <si>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</si>
  <si>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</si>
  <si>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</si>
  <si>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</si>
  <si>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</si>
  <si>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</si>
  <si>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</si>
  <si>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</si>
  <si>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</si>
  <si>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</si>
  <si>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</si>
  <si>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</si>
  <si>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</si>
  <si>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</si>
  <si>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</si>
  <si>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</si>
  <si>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</si>
  <si>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</si>
  <si>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</si>
  <si>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</si>
  <si>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</si>
  <si>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</si>
  <si>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</si>
  <si>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</si>
  <si>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</si>
  <si>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</si>
  <si>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</si>
  <si>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</si>
  <si>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</si>
  <si>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</si>
  <si>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</si>
  <si>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</si>
  <si>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</si>
  <si>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</si>
  <si>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</si>
  <si>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</si>
  <si>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</si>
  <si>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</si>
  <si>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</si>
  <si>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</si>
  <si>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</si>
  <si>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</si>
  <si>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</si>
  <si>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</si>
  <si>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</si>
  <si>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</si>
  <si>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</si>
  <si>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</si>
  <si>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</si>
  <si>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</si>
  <si>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</si>
  <si>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</si>
  <si>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</si>
  <si>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</si>
  <si>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</si>
  <si>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</si>
  <si>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</si>
  <si>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</si>
  <si>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</si>
  <si>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</si>
  <si>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</si>
  <si>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</si>
  <si>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</si>
  <si>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</si>
  <si>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</si>
  <si>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</si>
  <si>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</si>
  <si>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</si>
  <si>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</si>
  <si>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</si>
  <si>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</si>
  <si>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</si>
  <si>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</si>
  <si>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</si>
  <si>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</si>
  <si>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</si>
  <si>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</si>
  <si>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</si>
  <si>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</si>
  <si>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</si>
  <si>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</si>
  <si>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</si>
  <si>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</si>
  <si>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</si>
  <si>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</si>
  <si>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</si>
  <si>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</si>
  <si>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</si>
  <si>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</si>
  <si>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</si>
  <si>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</si>
  <si>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</si>
  <si>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</si>
  <si>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</si>
  <si>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</si>
  <si>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</si>
  <si>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</si>
  <si>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</si>
  <si>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</si>
  <si>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</si>
  <si>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</si>
  <si>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</si>
  <si>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</si>
  <si>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</si>
  <si>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</si>
  <si>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</si>
  <si>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</si>
  <si>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</si>
  <si>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</si>
  <si>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</si>
  <si>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</si>
  <si>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</si>
  <si>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</si>
  <si>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</si>
  <si>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</si>
  <si>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</si>
  <si>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</si>
  <si>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</si>
  <si>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</si>
  <si>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</si>
  <si>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</si>
  <si>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</si>
  <si>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</si>
  <si>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</si>
  <si>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</si>
  <si>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</si>
  <si>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</si>
  <si>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</si>
  <si>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</si>
  <si>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</si>
  <si>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</si>
  <si>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</si>
  <si>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</si>
  <si>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</si>
  <si>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</si>
  <si>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</si>
  <si>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</si>
  <si>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</si>
  <si>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</si>
  <si>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</si>
  <si>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</si>
  <si>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</si>
  <si>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</si>
  <si>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</si>
  <si>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</si>
  <si>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</si>
  <si>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</si>
  <si>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</si>
  <si>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</si>
  <si>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</si>
  <si>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</si>
  <si>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</si>
  <si>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</si>
  <si>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</si>
  <si>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</si>
  <si>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</si>
  <si>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</si>
  <si>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</si>
  <si>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</si>
  <si>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</si>
  <si>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</si>
  <si>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</si>
  <si>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</si>
  <si>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</si>
  <si>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</si>
  <si>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</si>
  <si>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</si>
  <si>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</si>
  <si>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</si>
  <si>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</si>
  <si>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</si>
  <si>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</si>
  <si>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</si>
  <si>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</si>
  <si>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</si>
  <si>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</si>
  <si>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</si>
  <si>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</si>
  <si>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</si>
  <si>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</si>
  <si>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</si>
  <si>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</si>
  <si>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</si>
  <si>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</si>
  <si>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</si>
  <si>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</si>
  <si>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</si>
  <si>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</si>
  <si>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</si>
  <si>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</si>
  <si>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</si>
  <si>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</si>
  <si>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</si>
  <si>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</si>
  <si>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</si>
  <si>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</si>
  <si>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</si>
  <si>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</si>
  <si>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</si>
  <si>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</si>
  <si>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</si>
  <si>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</si>
  <si>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</si>
  <si>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</si>
  <si>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</si>
  <si>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</si>
  <si>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</si>
  <si>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</si>
  <si>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</si>
  <si>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</si>
  <si>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</si>
  <si>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</si>
  <si>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</si>
  <si>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</si>
  <si>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</si>
  <si>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</si>
  <si>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</si>
  <si>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</si>
  <si>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</si>
  <si>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</si>
  <si>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</si>
  <si>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</si>
  <si>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</si>
  <si>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</si>
  <si>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</si>
  <si>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</si>
  <si>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</si>
  <si>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</si>
  <si>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</si>
  <si>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</si>
  <si>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</si>
  <si>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</si>
  <si>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</si>
  <si>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</si>
  <si>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</si>
  <si>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</si>
  <si>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</si>
  <si>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</si>
  <si>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</si>
  <si>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</si>
  <si>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</si>
  <si>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</si>
  <si>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</si>
  <si>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</si>
  <si>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</si>
  <si>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</si>
  <si>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</si>
  <si>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</si>
  <si>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</si>
  <si>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</si>
  <si>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</si>
  <si>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</si>
  <si>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</si>
  <si>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</si>
  <si>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</si>
  <si>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</si>
  <si>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</si>
  <si>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</si>
  <si>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</si>
  <si>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</si>
  <si>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</si>
  <si>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</si>
  <si>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</si>
  <si>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</si>
  <si>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</si>
  <si>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</si>
  <si>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</si>
  <si>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</si>
  <si>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</si>
  <si>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</si>
  <si>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</si>
  <si>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</si>
  <si>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</si>
  <si>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</si>
  <si>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</si>
  <si>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</si>
  <si>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</si>
  <si>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</si>
  <si>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</si>
  <si>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</si>
  <si>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</si>
  <si>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</si>
  <si>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</si>
  <si>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</si>
  <si>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</si>
  <si>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</si>
  <si>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</si>
  <si>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</si>
  <si>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</si>
  <si>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</si>
  <si>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</si>
  <si>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</si>
  <si>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</si>
  <si>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</si>
  <si>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</si>
  <si>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</si>
  <si>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</si>
  <si>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</si>
  <si>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</si>
  <si>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</si>
  <si>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</si>
  <si>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</si>
  <si>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</si>
  <si>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</si>
  <si>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</si>
  <si>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</si>
  <si>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</si>
  <si>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</si>
  <si>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</si>
  <si>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</si>
  <si>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</si>
  <si>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</si>
  <si>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</si>
  <si>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</si>
  <si>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</si>
  <si>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</si>
  <si>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</si>
  <si>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</si>
  <si>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</si>
  <si>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</si>
  <si>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</si>
  <si>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</si>
  <si>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</si>
  <si>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</si>
  <si>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</si>
  <si>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</si>
  <si>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</si>
  <si>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</si>
  <si>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</si>
  <si>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</si>
  <si>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</si>
  <si>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</si>
  <si>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</si>
  <si>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</si>
  <si>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</si>
  <si>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</si>
  <si>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</si>
  <si>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</si>
  <si>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</si>
  <si>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</si>
  <si>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</si>
  <si>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</si>
  <si>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</si>
  <si>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</si>
  <si>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</si>
  <si>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</si>
  <si>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</si>
  <si>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</si>
  <si>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</si>
  <si>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</si>
  <si>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</si>
  <si>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</si>
  <si>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</si>
  <si>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</si>
  <si>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</si>
  <si>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</si>
  <si>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</si>
  <si>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</si>
  <si>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</si>
  <si>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</si>
  <si>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</si>
  <si>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</si>
  <si>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</si>
  <si>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</si>
  <si>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</si>
  <si>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</si>
  <si>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</si>
  <si>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</si>
  <si>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</si>
  <si>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</si>
  <si>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</si>
  <si>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</si>
  <si>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</si>
  <si>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</si>
  <si>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</si>
  <si>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</si>
  <si>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</si>
  <si>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</si>
  <si>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</si>
  <si>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</si>
  <si>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</si>
  <si>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</si>
  <si>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</si>
  <si>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</si>
  <si>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</si>
  <si>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</si>
  <si>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</si>
  <si>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</si>
  <si>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</si>
  <si>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</si>
  <si>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</si>
  <si>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</si>
  <si>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</si>
  <si>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</si>
  <si>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</si>
  <si>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</si>
  <si>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</si>
  <si>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</si>
  <si>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</si>
  <si>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</si>
  <si>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</si>
  <si>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</si>
  <si>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</si>
  <si>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</si>
  <si>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</si>
  <si>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</si>
  <si>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</si>
  <si>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</si>
  <si>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</si>
  <si>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</si>
  <si>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</si>
  <si>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</si>
  <si>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</si>
  <si>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</si>
  <si>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</si>
  <si>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</si>
  <si>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</si>
  <si>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</si>
  <si>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</si>
  <si>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</si>
  <si>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</si>
  <si>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</si>
  <si>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</si>
  <si>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</si>
  <si>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</si>
  <si>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</si>
  <si>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</si>
  <si>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</si>
  <si>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</si>
  <si>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</si>
  <si>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</si>
  <si>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</si>
  <si>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</si>
  <si>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</si>
  <si>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</si>
  <si>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</si>
  <si>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</si>
  <si>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</si>
  <si>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</si>
  <si>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</si>
  <si>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</si>
  <si>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</si>
  <si>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</si>
  <si>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</si>
  <si>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</si>
  <si>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</si>
  <si>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</si>
  <si>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</si>
  <si>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</si>
  <si>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</si>
  <si>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</si>
  <si>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</si>
  <si>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</si>
  <si>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</si>
  <si>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</si>
  <si>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</si>
  <si>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</si>
  <si>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</si>
  <si>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</si>
  <si>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</si>
  <si>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</si>
  <si>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</si>
  <si>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</si>
  <si>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</si>
  <si>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</si>
  <si>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</si>
  <si>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</si>
  <si>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</si>
  <si>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</si>
  <si>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</si>
  <si>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</si>
  <si>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</si>
  <si>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</si>
  <si>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</si>
  <si>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</si>
  <si>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</si>
  <si>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</si>
  <si>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</si>
  <si>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</si>
  <si>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</si>
  <si>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</si>
  <si>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</si>
  <si>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</si>
  <si>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</si>
  <si>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</si>
  <si>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</si>
  <si>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</si>
  <si>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</si>
  <si>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</si>
  <si>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</si>
  <si>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</si>
  <si>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</si>
  <si>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</si>
  <si>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</si>
  <si>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</si>
  <si>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</si>
  <si>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</si>
  <si>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</si>
  <si>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</si>
  <si>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</si>
  <si>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</si>
  <si>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</si>
  <si>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</si>
  <si>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</si>
  <si>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</si>
  <si>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</si>
  <si>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</si>
  <si>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</si>
  <si>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</si>
  <si>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</si>
  <si>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</si>
  <si>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</si>
  <si>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</si>
  <si>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</si>
  <si>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</si>
  <si>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</si>
  <si>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</si>
  <si>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</si>
  <si>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</si>
  <si>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</si>
  <si>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</si>
  <si>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</si>
  <si>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</si>
  <si>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</si>
  <si>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</si>
  <si>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</si>
  <si>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</si>
  <si>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</si>
  <si>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</si>
  <si>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</si>
  <si>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</si>
  <si>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</si>
  <si>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</si>
  <si>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</si>
  <si>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</si>
  <si>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</si>
  <si>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</si>
  <si>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</si>
  <si>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</si>
  <si>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</si>
  <si>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</si>
  <si>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</si>
  <si>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</si>
  <si>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</si>
  <si>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</si>
  <si>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</si>
  <si>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</si>
  <si>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</si>
  <si>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</si>
  <si>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</si>
  <si>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</si>
  <si>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</si>
  <si>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</si>
  <si>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</si>
  <si>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</si>
  <si>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</si>
  <si>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</si>
  <si>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</si>
  <si>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</si>
  <si>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</si>
  <si>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</si>
  <si>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</si>
  <si>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</si>
  <si>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</si>
  <si>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</si>
  <si>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</si>
  <si>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</si>
  <si>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</si>
  <si>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</si>
  <si>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</si>
  <si>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</si>
  <si>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</si>
  <si>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</si>
  <si>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</si>
  <si>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</si>
  <si>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</si>
  <si>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</si>
  <si>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</si>
  <si>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</si>
  <si>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</si>
  <si>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</si>
  <si>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</si>
  <si>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</si>
  <si>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</si>
  <si>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</si>
  <si>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</si>
  <si>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</si>
  <si>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</si>
  <si>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</si>
  <si>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</si>
  <si>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</si>
  <si>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</si>
  <si>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</si>
  <si>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</si>
  <si>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</si>
  <si>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</si>
  <si>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</si>
  <si>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</si>
  <si>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</si>
  <si>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</si>
  <si>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</si>
  <si>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</si>
  <si>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</si>
  <si>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</si>
  <si>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</si>
  <si>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</si>
  <si>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</si>
  <si>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</si>
  <si>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</si>
  <si>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</si>
  <si>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</si>
  <si>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</si>
  <si>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</si>
  <si>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</si>
  <si>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</si>
  <si>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</si>
  <si>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</si>
  <si>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</si>
  <si>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</si>
  <si>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</si>
  <si>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</si>
  <si>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</si>
  <si>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</si>
  <si>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</si>
  <si>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</si>
  <si>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</si>
  <si>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</si>
  <si>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</si>
  <si>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</si>
  <si>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</si>
  <si>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</si>
  <si>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</si>
  <si>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</si>
  <si>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</si>
  <si>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</si>
  <si>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</si>
  <si>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</si>
  <si>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</si>
  <si>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</si>
  <si>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</si>
  <si>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</si>
  <si>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</si>
  <si>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</si>
  <si>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</si>
  <si>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</si>
  <si>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</si>
  <si>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</si>
  <si>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</si>
  <si>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</si>
  <si>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</si>
  <si>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</si>
  <si>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</si>
  <si>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</si>
  <si>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</si>
  <si>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</si>
  <si>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</si>
  <si>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</si>
  <si>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</si>
  <si>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</si>
  <si>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</si>
  <si>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</si>
  <si>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</si>
  <si>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</si>
  <si>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</si>
  <si>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</si>
  <si>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</si>
  <si>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</si>
  <si>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</si>
  <si>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</si>
  <si>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</si>
  <si>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</si>
  <si>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</si>
  <si>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</si>
  <si>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</si>
  <si>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</si>
  <si>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</si>
  <si>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</si>
  <si>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</si>
  <si>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</si>
  <si>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</si>
  <si>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</si>
  <si>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</si>
  <si>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</si>
  <si>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</si>
  <si>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</si>
  <si>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</si>
  <si>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</si>
  <si>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</si>
  <si>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</si>
  <si>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</si>
  <si>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</si>
  <si>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</si>
  <si>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</si>
  <si>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</si>
  <si>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</si>
  <si>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</si>
  <si>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</si>
  <si>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</si>
  <si>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</si>
  <si>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</si>
  <si>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</si>
  <si>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</si>
  <si>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</si>
  <si>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</si>
  <si>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</si>
  <si>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</si>
  <si>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</si>
  <si>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</si>
  <si>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</si>
  <si>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</si>
  <si>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</si>
  <si>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</si>
  <si>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</si>
  <si>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</si>
  <si>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</si>
  <si>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</si>
  <si>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</si>
  <si>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</si>
  <si>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</si>
  <si>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</si>
  <si>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</si>
  <si>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</si>
  <si>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</si>
  <si>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</si>
  <si>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</si>
  <si>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</si>
  <si>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</si>
  <si>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</si>
  <si>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</si>
  <si>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</si>
  <si>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</si>
  <si>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</si>
  <si>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</si>
  <si>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</si>
  <si>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</si>
  <si>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</si>
  <si>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</si>
  <si>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</si>
  <si>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</si>
  <si>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</si>
  <si>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</si>
  <si>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</si>
  <si>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</si>
  <si>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</si>
  <si>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</si>
  <si>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</si>
  <si>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</si>
  <si>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</si>
  <si>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</si>
  <si>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</si>
  <si>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</si>
  <si>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</si>
  <si>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</si>
  <si>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</si>
  <si>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</si>
  <si>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</si>
  <si>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</si>
  <si>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</si>
  <si>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</si>
  <si>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</si>
  <si>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</si>
  <si>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</si>
  <si>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</si>
  <si>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</si>
  <si>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</si>
  <si>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</si>
  <si>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</si>
  <si>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</si>
  <si>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</si>
  <si>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</si>
  <si>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</si>
  <si>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</si>
  <si>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</si>
  <si>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</si>
  <si>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</si>
  <si>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</si>
  <si>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</si>
  <si>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</si>
  <si>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</si>
  <si>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</si>
  <si>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</si>
  <si>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</si>
  <si>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</si>
  <si>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</si>
  <si>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</si>
  <si>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</si>
  <si>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</si>
  <si>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</si>
  <si>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</si>
  <si>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</si>
  <si>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</si>
  <si>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</si>
  <si>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</si>
  <si>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</si>
  <si>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</si>
  <si>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</si>
  <si>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</si>
  <si>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</si>
  <si>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</si>
  <si>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</si>
  <si>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</si>
  <si>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</si>
  <si>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</si>
  <si>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</si>
  <si>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</si>
  <si>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</si>
  <si>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</si>
  <si>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</si>
  <si>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</si>
  <si>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</si>
  <si>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</si>
  <si>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</si>
  <si>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</si>
  <si>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</si>
  <si>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</si>
  <si>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</si>
  <si>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</si>
  <si>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</si>
  <si>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</si>
  <si>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</si>
  <si>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</si>
  <si>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</si>
  <si>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</si>
  <si>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</si>
  <si>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</si>
  <si>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</si>
  <si>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</si>
  <si>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</si>
  <si>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</si>
  <si>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</si>
  <si>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</si>
  <si>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</si>
  <si>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</si>
  <si>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</si>
  <si>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</si>
  <si>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</si>
  <si>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</si>
  <si>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</si>
  <si>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</si>
  <si>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</si>
  <si>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</si>
  <si>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</si>
  <si>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</si>
  <si>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</si>
  <si>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</si>
  <si>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</si>
  <si>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</si>
  <si>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</si>
  <si>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</si>
  <si>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</si>
  <si>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</si>
  <si>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</si>
  <si>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</si>
  <si>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</si>
  <si>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</si>
  <si>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</si>
  <si>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</si>
  <si>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</si>
  <si>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</si>
  <si>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</si>
  <si>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</si>
  <si>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</si>
  <si>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</si>
  <si>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</si>
  <si>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</si>
  <si>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</si>
  <si>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</si>
  <si>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</si>
  <si>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</si>
  <si>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</si>
  <si>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</si>
  <si>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</si>
  <si>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</si>
  <si>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</si>
  <si>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</si>
  <si>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</si>
  <si>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</si>
  <si>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</si>
  <si>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</si>
  <si>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</si>
  <si>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</si>
  <si>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</si>
  <si>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</si>
  <si>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</si>
  <si>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</si>
  <si>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</si>
  <si>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</si>
  <si>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</si>
  <si>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</si>
  <si>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</si>
  <si>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</si>
  <si>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</si>
  <si>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</si>
  <si>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</si>
  <si>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</si>
  <si>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</si>
  <si>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</si>
  <si>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</si>
  <si>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</si>
  <si>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</si>
  <si>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</si>
  <si>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</si>
  <si>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</si>
  <si>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</si>
  <si>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</si>
  <si>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</si>
  <si>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</si>
  <si>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</si>
  <si>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</si>
  <si>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</si>
  <si>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</si>
  <si>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</si>
  <si>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</si>
  <si>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</si>
  <si>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</si>
  <si>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</si>
  <si>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</si>
  <si>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</si>
  <si>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</si>
  <si>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</si>
  <si>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</si>
  <si>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</si>
  <si>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</si>
  <si>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</si>
  <si>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</si>
  <si>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</si>
  <si>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</si>
  <si>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</si>
  <si>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</si>
  <si>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</si>
  <si>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</si>
  <si>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</si>
  <si>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</si>
  <si>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</si>
  <si>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</si>
  <si>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</si>
  <si>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</si>
  <si>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</si>
  <si>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</si>
  <si>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</si>
  <si>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</si>
  <si>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</si>
  <si>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</si>
  <si>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</si>
  <si>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</si>
  <si>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</si>
  <si>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</si>
  <si>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</si>
  <si>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</si>
  <si>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</si>
  <si>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</si>
  <si>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</si>
  <si>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</si>
  <si>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</si>
  <si>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</si>
  <si>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</si>
  <si>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</si>
  <si>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</si>
  <si>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</si>
  <si>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</si>
  <si>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</si>
  <si>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</si>
  <si>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</si>
  <si>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</si>
  <si>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</si>
  <si>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</si>
  <si>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</si>
  <si>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</si>
  <si>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</si>
  <si>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</si>
  <si>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</si>
  <si>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</si>
  <si>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</si>
  <si>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</si>
  <si>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</si>
  <si>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</si>
  <si>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</si>
  <si>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</si>
  <si>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</si>
  <si>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</si>
  <si>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</si>
  <si>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</si>
  <si>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</si>
  <si>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</si>
  <si>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</si>
  <si>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</si>
  <si>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</si>
  <si>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</si>
  <si>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</si>
  <si>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</si>
  <si>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</si>
  <si>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</si>
  <si>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</si>
  <si>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</si>
  <si>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</si>
  <si>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</si>
  <si>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</si>
  <si>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</si>
  <si>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</si>
  <si>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</si>
  <si>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</si>
  <si>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</si>
  <si>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</si>
  <si>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</si>
  <si>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</si>
  <si>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</si>
  <si>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</si>
  <si>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</si>
  <si>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</si>
  <si>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</si>
  <si>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</si>
  <si>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</si>
  <si>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PROFILE SCHOOL DISTRICT</t>
  </si>
  <si>
    <t>01/07</t>
  </si>
  <si>
    <t>01/27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</si>
</sst>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3"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450</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508579.49</v>
      </c>
      <c r="G9" s="18"/>
      <c r="H9" s="18"/>
      <c r="I9" s="18"/>
      <c r="J9" s="67">
        <f>SUM(I440)</f>
        <v>454343.94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-7961.71</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7720.05</v>
      </c>
      <c r="H14" s="18">
        <v>29898.43</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6515.22</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507132.99999999994</v>
      </c>
      <c r="G19" s="41">
        <f>SUM(G9:G18)</f>
        <v>7720.05</v>
      </c>
      <c r="H19" s="41">
        <f>SUM(H9:H18)</f>
        <v>29898.43</v>
      </c>
      <c r="I19" s="41">
        <f>SUM(I9:I18)</f>
        <v>0</v>
      </c>
      <c r="J19" s="41">
        <f>SUM(J9:J18)</f>
        <v>454343.94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7720.05</v>
      </c>
      <c r="H22" s="18">
        <v>29898.43</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64022.92</v>
      </c>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1641.26</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65664.179999999993</v>
      </c>
      <c r="G32" s="41">
        <f>SUM(G22:G31)</f>
        <v>7720.05</v>
      </c>
      <c r="H32" s="41">
        <f>SUM(H22:H31)</f>
        <v>29898.43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6512.22</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454343.94</v>
      </c>
      <c r="K43" s="24" t="s">
        <v>288</v>
      </c>
      <c r="L43" s="24" t="s">
        <v>288</v>
      </c>
      <c r="M43" s="8"/>
      <c r="N43" s="266"/>
    </row>
    <row r="44" spans="1:14" s="3" customFormat="1" ht="12.2" customHeight="1" x14ac:dyDescent="0.15">
      <c r="A44" s="1" t="s">
        <v>837</v>
      </c>
      <c r="B44" s="6">
        <v>1</v>
      </c>
      <c r="C44" s="6">
        <v>30</v>
      </c>
      <c r="D44" s="2" t="s">
        <v>653</v>
      </c>
      <c r="E44" s="6">
        <v>755</v>
      </c>
      <c r="F44" s="18">
        <v>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434956.6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441468.81999999995</v>
      </c>
      <c r="G51" s="41">
        <f>SUM(G35:G50)</f>
        <v>0</v>
      </c>
      <c r="H51" s="41">
        <f>SUM(H35:H50)</f>
        <v>0</v>
      </c>
      <c r="I51" s="41">
        <f>SUM(I35:I50)</f>
        <v>0</v>
      </c>
      <c r="J51" s="41">
        <f>SUM(J35:J50)</f>
        <v>454343.94</v>
      </c>
      <c r="K51" s="45" t="s">
        <v>288</v>
      </c>
      <c r="L51" s="45" t="s">
        <v>288</v>
      </c>
      <c r="N51" s="264"/>
    </row>
    <row r="52" spans="1:14" s="3" customFormat="1" ht="12.2" customHeight="1" thickTop="1" x14ac:dyDescent="0.15">
      <c r="A52" s="38" t="s">
        <v>455</v>
      </c>
      <c r="B52" s="39" t="s">
        <v>289</v>
      </c>
      <c r="C52" s="6">
        <v>37</v>
      </c>
      <c r="D52" s="39" t="s">
        <v>653</v>
      </c>
      <c r="E52" s="39"/>
      <c r="F52" s="41">
        <f>F51+F32</f>
        <v>507132.99999999994</v>
      </c>
      <c r="G52" s="41">
        <f>G51+G32</f>
        <v>7720.05</v>
      </c>
      <c r="H52" s="41">
        <f>H51+H32</f>
        <v>29898.43</v>
      </c>
      <c r="I52" s="41">
        <f>I51+I32</f>
        <v>0</v>
      </c>
      <c r="J52" s="41">
        <f>J51+J32</f>
        <v>454343.94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2457920+115460+745590+1718317-768849</f>
        <v>4268438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4268438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t="s">
        <v>286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450</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16915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16665</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34030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1445.24</v>
      </c>
      <c r="G96" s="18"/>
      <c r="H96" s="18"/>
      <c r="I96" s="18"/>
      <c r="J96" s="18">
        <v>23105.86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46315.74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348.2</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883.12</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f>75.74+500</f>
        <v>575.74</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t="s">
        <v>286</v>
      </c>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46081.7</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2714.44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50</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52198.44</v>
      </c>
      <c r="G111" s="41">
        <f>SUM(G96:G110)</f>
        <v>46315.74</v>
      </c>
      <c r="H111" s="41">
        <f>SUM(H96:H110)</f>
        <v>0</v>
      </c>
      <c r="I111" s="41">
        <f>SUM(I96:I110)</f>
        <v>0</v>
      </c>
      <c r="J111" s="41">
        <f>SUM(J96:J110)</f>
        <v>23105.86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4354666.4400000004</v>
      </c>
      <c r="G112" s="41">
        <f>G60+G111</f>
        <v>46315.74</v>
      </c>
      <c r="H112" s="41">
        <f>H60+H79+H94+H111</f>
        <v>0</v>
      </c>
      <c r="I112" s="41">
        <f>I60+I111</f>
        <v>0</v>
      </c>
      <c r="J112" s="41">
        <f>J60+J111</f>
        <v>23105.86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488586.89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768849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1257435.8900000001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366886.36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1965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1436.72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t="s">
        <v>286</v>
      </c>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368851.36</v>
      </c>
      <c r="G136" s="41">
        <f>SUM(G123:G135)</f>
        <v>1436.72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1626287.25</v>
      </c>
      <c r="G140" s="41">
        <f>G121+SUM(G136:G137)</f>
        <v>1436.72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48029.85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148081.75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46413.48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76865.350000000006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46413.48</v>
      </c>
      <c r="H163" s="41">
        <f>SUM(H150:H162)</f>
        <v>272976.95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469.82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469.82</v>
      </c>
      <c r="G170" s="41">
        <f>G147+G163+SUM(G164:G169)</f>
        <v>46413.48</v>
      </c>
      <c r="H170" s="41">
        <f>H147+H163+SUM(H164:H169)</f>
        <v>272976.95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18519.060000000001</v>
      </c>
      <c r="H180" s="18"/>
      <c r="I180" s="18"/>
      <c r="J180" s="18">
        <v>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18519.060000000001</v>
      </c>
      <c r="H184" s="41">
        <f>SUM(H180:H183)</f>
        <v>0</v>
      </c>
      <c r="I184" s="41">
        <f>SUM(I180:I183)</f>
        <v>0</v>
      </c>
      <c r="J184" s="41">
        <f>SUM(J180:J183)</f>
        <v>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18519.060000000001</v>
      </c>
      <c r="H193" s="41">
        <f>+H184+SUM(H189:H192)</f>
        <v>0</v>
      </c>
      <c r="I193" s="41">
        <f>I178+I184+SUM(I189:I192)</f>
        <v>0</v>
      </c>
      <c r="J193" s="41">
        <f>J184</f>
        <v>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5981423.5100000007</v>
      </c>
      <c r="G194" s="47">
        <f>G112+G140+G170+G193</f>
        <v>112685</v>
      </c>
      <c r="H194" s="47">
        <f>H112+H140+H170+H193</f>
        <v>272976.95</v>
      </c>
      <c r="I194" s="47">
        <f>I112+I140+I170+I193</f>
        <v>0</v>
      </c>
      <c r="J194" s="47">
        <f>J112+J140+J193</f>
        <v>48105.86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0</v>
      </c>
      <c r="G198" s="18">
        <v>0</v>
      </c>
      <c r="H198" s="18"/>
      <c r="I198" s="18"/>
      <c r="J198" s="18"/>
      <c r="K198" s="18"/>
      <c r="L198" s="19">
        <f>SUM(F198:K198)</f>
        <v>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471496.22</v>
      </c>
      <c r="G216" s="18">
        <v>212758.27</v>
      </c>
      <c r="H216" s="18">
        <v>353.42</v>
      </c>
      <c r="I216" s="18">
        <v>12057.07</v>
      </c>
      <c r="J216" s="18">
        <v>23554.33</v>
      </c>
      <c r="K216" s="18"/>
      <c r="L216" s="19">
        <f>SUM(F216:K216)</f>
        <v>720219.30999999994</v>
      </c>
      <c r="M216" s="8"/>
      <c r="N216" s="266"/>
    </row>
    <row r="217" spans="1:14" s="3" customFormat="1" ht="12.2" customHeight="1" x14ac:dyDescent="0.15">
      <c r="A217" s="1" t="s">
        <v>439</v>
      </c>
      <c r="B217" s="2" t="s">
        <v>346</v>
      </c>
      <c r="C217" s="2" t="s">
        <v>291</v>
      </c>
      <c r="D217" s="2" t="s">
        <v>431</v>
      </c>
      <c r="E217" s="6">
        <v>1200</v>
      </c>
      <c r="F217" s="18">
        <v>159650.64000000001</v>
      </c>
      <c r="G217" s="18">
        <v>58496.959999999999</v>
      </c>
      <c r="H217" s="18">
        <v>249.38</v>
      </c>
      <c r="I217" s="18">
        <v>390.54</v>
      </c>
      <c r="J217" s="18">
        <v>8.31</v>
      </c>
      <c r="K217" s="18"/>
      <c r="L217" s="19">
        <f>SUM(F217:K217)</f>
        <v>218795.83000000002</v>
      </c>
      <c r="M217" s="8"/>
      <c r="N217" s="266"/>
    </row>
    <row r="218" spans="1:14" s="3" customFormat="1" ht="12.2" customHeight="1" x14ac:dyDescent="0.15">
      <c r="A218" s="1" t="s">
        <v>440</v>
      </c>
      <c r="B218" s="2" t="s">
        <v>346</v>
      </c>
      <c r="C218" s="2" t="s">
        <v>292</v>
      </c>
      <c r="D218" s="2" t="s">
        <v>431</v>
      </c>
      <c r="E218" s="6">
        <v>1300</v>
      </c>
      <c r="F218" s="18">
        <v>20068.330000000002</v>
      </c>
      <c r="G218" s="18">
        <v>10526.59</v>
      </c>
      <c r="H218" s="18">
        <v>102.71</v>
      </c>
      <c r="I218" s="18">
        <v>1691.99</v>
      </c>
      <c r="J218" s="18">
        <v>10.41</v>
      </c>
      <c r="K218" s="18" t="s">
        <v>286</v>
      </c>
      <c r="L218" s="19">
        <f>SUM(F218:K218)</f>
        <v>32400.030000000002</v>
      </c>
      <c r="M218" s="8"/>
      <c r="N218" s="266"/>
    </row>
    <row r="219" spans="1:14" s="3" customFormat="1" ht="12.2" customHeight="1" x14ac:dyDescent="0.15">
      <c r="A219" s="1" t="s">
        <v>441</v>
      </c>
      <c r="B219" s="2" t="s">
        <v>346</v>
      </c>
      <c r="C219" s="2" t="s">
        <v>293</v>
      </c>
      <c r="D219" s="2" t="s">
        <v>431</v>
      </c>
      <c r="E219" s="6">
        <v>1400</v>
      </c>
      <c r="F219" s="18">
        <v>24275.3</v>
      </c>
      <c r="G219" s="18">
        <v>4627.7700000000004</v>
      </c>
      <c r="H219" s="18">
        <v>6467.85</v>
      </c>
      <c r="I219" s="18">
        <v>1471.5</v>
      </c>
      <c r="J219" s="18">
        <v>2336.84</v>
      </c>
      <c r="K219" s="18">
        <v>2597.27</v>
      </c>
      <c r="L219" s="19">
        <f>SUM(F219:K219)</f>
        <v>41776.529999999992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53362.87</v>
      </c>
      <c r="G221" s="18">
        <v>29929.86</v>
      </c>
      <c r="H221" s="18">
        <v>41871.24</v>
      </c>
      <c r="I221" s="18">
        <v>672.33</v>
      </c>
      <c r="J221" s="18">
        <v>125.26</v>
      </c>
      <c r="K221" s="18"/>
      <c r="L221" s="19">
        <f t="shared" ref="L221:L227" si="2">SUM(F221:K221)</f>
        <v>125961.56</v>
      </c>
      <c r="M221" s="8"/>
      <c r="N221" s="266"/>
    </row>
    <row r="222" spans="1:14" s="3" customFormat="1" ht="12.2" customHeight="1" x14ac:dyDescent="0.15">
      <c r="A222" s="1" t="s">
        <v>443</v>
      </c>
      <c r="B222" s="2" t="s">
        <v>346</v>
      </c>
      <c r="C222" s="2" t="s">
        <v>295</v>
      </c>
      <c r="D222" s="2" t="s">
        <v>431</v>
      </c>
      <c r="E222" s="6">
        <v>2200</v>
      </c>
      <c r="F222" s="18">
        <v>37695.99</v>
      </c>
      <c r="G222" s="18">
        <v>23145.91</v>
      </c>
      <c r="H222" s="18"/>
      <c r="I222" s="18">
        <v>2120.02</v>
      </c>
      <c r="J222" s="18">
        <v>115.85</v>
      </c>
      <c r="K222" s="18">
        <v>6921.03</v>
      </c>
      <c r="L222" s="19">
        <f t="shared" si="2"/>
        <v>69998.799999999988</v>
      </c>
      <c r="M222" s="8"/>
      <c r="N222" s="266"/>
    </row>
    <row r="223" spans="1:14" s="3" customFormat="1" ht="12.2" customHeight="1" x14ac:dyDescent="0.15">
      <c r="A223" s="1" t="s">
        <v>444</v>
      </c>
      <c r="B223" s="2" t="s">
        <v>346</v>
      </c>
      <c r="C223" s="2" t="s">
        <v>296</v>
      </c>
      <c r="D223" s="2" t="s">
        <v>431</v>
      </c>
      <c r="E223" s="6">
        <v>2300</v>
      </c>
      <c r="F223" s="18">
        <v>2989.57</v>
      </c>
      <c r="G223" s="18">
        <v>228.71</v>
      </c>
      <c r="H223" s="18">
        <f>17455.79+84612.85+6495.83</f>
        <v>108564.47000000002</v>
      </c>
      <c r="I223" s="18"/>
      <c r="J223" s="18"/>
      <c r="K223" s="18">
        <v>2417.7199999999998</v>
      </c>
      <c r="L223" s="19">
        <f t="shared" si="2"/>
        <v>114200.47000000002</v>
      </c>
      <c r="M223" s="8"/>
      <c r="N223" s="266"/>
    </row>
    <row r="224" spans="1:14" s="3" customFormat="1" ht="12.2" customHeight="1" x14ac:dyDescent="0.15">
      <c r="A224" s="1" t="s">
        <v>445</v>
      </c>
      <c r="B224" s="2" t="s">
        <v>346</v>
      </c>
      <c r="C224" s="2" t="s">
        <v>297</v>
      </c>
      <c r="D224" s="2" t="s">
        <v>431</v>
      </c>
      <c r="E224" s="6">
        <v>2400</v>
      </c>
      <c r="F224" s="18">
        <v>87056.42</v>
      </c>
      <c r="G224" s="18">
        <v>36695.31</v>
      </c>
      <c r="H224" s="18">
        <v>19854.05</v>
      </c>
      <c r="I224" s="18">
        <v>2899.42</v>
      </c>
      <c r="J224" s="18">
        <v>69.650000000000006</v>
      </c>
      <c r="K224" s="18">
        <v>117.5</v>
      </c>
      <c r="L224" s="19">
        <f t="shared" si="2"/>
        <v>146692.35</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v>40723.160000000003</v>
      </c>
      <c r="G226" s="18">
        <v>13799.59</v>
      </c>
      <c r="H226" s="18">
        <v>57612.68</v>
      </c>
      <c r="I226" s="18">
        <v>42038.05</v>
      </c>
      <c r="J226" s="18">
        <v>1570.23</v>
      </c>
      <c r="K226" s="18"/>
      <c r="L226" s="19">
        <f t="shared" si="2"/>
        <v>155743.71</v>
      </c>
      <c r="M226" s="8"/>
      <c r="N226" s="266"/>
    </row>
    <row r="227" spans="1:14" s="3" customFormat="1" ht="12.2" customHeight="1" x14ac:dyDescent="0.15">
      <c r="A227" s="1" t="s">
        <v>448</v>
      </c>
      <c r="B227" s="2" t="s">
        <v>346</v>
      </c>
      <c r="C227" s="2" t="s">
        <v>300</v>
      </c>
      <c r="D227" s="2" t="s">
        <v>431</v>
      </c>
      <c r="E227" s="6">
        <v>2700</v>
      </c>
      <c r="F227" s="18">
        <v>632.21</v>
      </c>
      <c r="G227" s="18">
        <v>132.65</v>
      </c>
      <c r="H227" s="18">
        <v>27702.3</v>
      </c>
      <c r="I227" s="18">
        <v>521.6</v>
      </c>
      <c r="J227" s="18"/>
      <c r="K227" s="18"/>
      <c r="L227" s="19">
        <f t="shared" si="2"/>
        <v>28988.76</v>
      </c>
      <c r="M227" s="8"/>
      <c r="N227" s="266"/>
    </row>
    <row r="228" spans="1:14" s="3" customFormat="1" ht="12.2" customHeight="1" x14ac:dyDescent="0.15">
      <c r="A228" s="1" t="s">
        <v>449</v>
      </c>
      <c r="B228" s="2" t="s">
        <v>346</v>
      </c>
      <c r="C228" s="2" t="s">
        <v>343</v>
      </c>
      <c r="D228" s="2" t="s">
        <v>431</v>
      </c>
      <c r="E228" s="6">
        <v>2800</v>
      </c>
      <c r="F228" s="18"/>
      <c r="G228" s="18"/>
      <c r="H228" s="18"/>
      <c r="I228" s="18">
        <v>274.56</v>
      </c>
      <c r="J228" s="18"/>
      <c r="K228" s="18">
        <v>0</v>
      </c>
      <c r="L228" s="19">
        <f>SUM(F228:K228)</f>
        <v>274.56</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897950.71</v>
      </c>
      <c r="G230" s="41">
        <f>SUM(G216:G229)</f>
        <v>390341.62000000005</v>
      </c>
      <c r="H230" s="41">
        <f>SUM(H216:H229)</f>
        <v>262778.09999999998</v>
      </c>
      <c r="I230" s="41">
        <f>SUM(I216:I229)</f>
        <v>64137.08</v>
      </c>
      <c r="J230" s="41">
        <f>SUM(J216:J229)</f>
        <v>27790.880000000001</v>
      </c>
      <c r="K230" s="41">
        <f t="shared" si="3"/>
        <v>12053.519999999999</v>
      </c>
      <c r="L230" s="41">
        <f t="shared" si="3"/>
        <v>1655051.9100000001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943880.12</v>
      </c>
      <c r="G234" s="18">
        <v>522772.14</v>
      </c>
      <c r="H234" s="18">
        <f>14696.32+46.41</f>
        <v>14742.73</v>
      </c>
      <c r="I234" s="18">
        <v>16858.16</v>
      </c>
      <c r="J234" s="18">
        <v>48768.9</v>
      </c>
      <c r="K234" s="18"/>
      <c r="L234" s="19">
        <f>SUM(F234:K234)</f>
        <v>1547022.0499999998</v>
      </c>
      <c r="M234" s="8"/>
      <c r="N234" s="266"/>
    </row>
    <row r="235" spans="1:14" s="3" customFormat="1" ht="12.2" customHeight="1" x14ac:dyDescent="0.15">
      <c r="A235" s="1" t="s">
        <v>439</v>
      </c>
      <c r="B235" s="2" t="s">
        <v>350</v>
      </c>
      <c r="C235" s="2" t="s">
        <v>291</v>
      </c>
      <c r="D235" s="2" t="s">
        <v>431</v>
      </c>
      <c r="E235" s="6">
        <v>1200</v>
      </c>
      <c r="F235" s="18">
        <v>192007.54</v>
      </c>
      <c r="G235" s="18">
        <v>102685.42</v>
      </c>
      <c r="H235" s="18">
        <v>80846.14</v>
      </c>
      <c r="I235" s="18">
        <v>4890.16</v>
      </c>
      <c r="J235" s="18">
        <v>15.43</v>
      </c>
      <c r="K235" s="18"/>
      <c r="L235" s="19">
        <f>SUM(F235:K235)</f>
        <v>380444.69</v>
      </c>
      <c r="M235" s="8"/>
      <c r="N235" s="266"/>
    </row>
    <row r="236" spans="1:14" s="3" customFormat="1" ht="12.2" customHeight="1" x14ac:dyDescent="0.15">
      <c r="A236" s="1" t="s">
        <v>440</v>
      </c>
      <c r="B236" s="2" t="s">
        <v>350</v>
      </c>
      <c r="C236" s="2" t="s">
        <v>292</v>
      </c>
      <c r="D236" s="2" t="s">
        <v>431</v>
      </c>
      <c r="E236" s="6">
        <v>1300</v>
      </c>
      <c r="F236" s="18">
        <v>37269.67</v>
      </c>
      <c r="G236" s="18">
        <v>19550.25</v>
      </c>
      <c r="H236" s="18">
        <v>22774.66</v>
      </c>
      <c r="I236" s="18">
        <v>3252.86</v>
      </c>
      <c r="J236" s="18">
        <v>19.36</v>
      </c>
      <c r="K236" s="18" t="s">
        <v>286</v>
      </c>
      <c r="L236" s="19">
        <f>SUM(F236:K236)</f>
        <v>82866.8</v>
      </c>
      <c r="M236" s="8"/>
      <c r="N236" s="266"/>
    </row>
    <row r="237" spans="1:14" s="3" customFormat="1" ht="12.2" customHeight="1" x14ac:dyDescent="0.15">
      <c r="A237" s="1" t="s">
        <v>441</v>
      </c>
      <c r="B237" s="2" t="s">
        <v>350</v>
      </c>
      <c r="C237" s="2" t="s">
        <v>293</v>
      </c>
      <c r="D237" s="2" t="s">
        <v>431</v>
      </c>
      <c r="E237" s="6">
        <v>1400</v>
      </c>
      <c r="F237" s="18">
        <v>50326.400000000001</v>
      </c>
      <c r="G237" s="18">
        <v>7397.7</v>
      </c>
      <c r="H237" s="18">
        <v>12081.86</v>
      </c>
      <c r="I237" s="18">
        <v>2732.71</v>
      </c>
      <c r="J237" s="18">
        <v>4339.78</v>
      </c>
      <c r="K237" s="18">
        <v>4791.8599999999997</v>
      </c>
      <c r="L237" s="19">
        <f>SUM(F237:K237)</f>
        <v>81670.31</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80773.38</v>
      </c>
      <c r="G239" s="18">
        <v>42910.97</v>
      </c>
      <c r="H239" s="18">
        <v>74854.13</v>
      </c>
      <c r="I239" s="18">
        <v>3637.91</v>
      </c>
      <c r="J239" s="18">
        <v>361.93</v>
      </c>
      <c r="K239" s="18"/>
      <c r="L239" s="19">
        <f t="shared" ref="L239:L245" si="4">SUM(F239:K239)</f>
        <v>202538.32</v>
      </c>
      <c r="M239" s="8"/>
      <c r="N239" s="266"/>
    </row>
    <row r="240" spans="1:14" s="3" customFormat="1" ht="12.2" customHeight="1" x14ac:dyDescent="0.15">
      <c r="A240" s="1" t="s">
        <v>443</v>
      </c>
      <c r="B240" s="2" t="s">
        <v>350</v>
      </c>
      <c r="C240" s="2" t="s">
        <v>295</v>
      </c>
      <c r="D240" s="2" t="s">
        <v>431</v>
      </c>
      <c r="E240" s="6">
        <v>2200</v>
      </c>
      <c r="F240" s="18">
        <v>70012.7</v>
      </c>
      <c r="G240" s="18">
        <v>42988.67</v>
      </c>
      <c r="H240" s="18"/>
      <c r="I240" s="18">
        <v>3937.11</v>
      </c>
      <c r="J240" s="18">
        <v>216.47</v>
      </c>
      <c r="K240" s="18">
        <v>13261.28</v>
      </c>
      <c r="L240" s="19">
        <f t="shared" si="4"/>
        <v>130416.23</v>
      </c>
      <c r="M240" s="8"/>
      <c r="N240" s="266"/>
    </row>
    <row r="241" spans="1:14" s="3" customFormat="1" ht="12.2" customHeight="1" x14ac:dyDescent="0.15">
      <c r="A241" s="1" t="s">
        <v>444</v>
      </c>
      <c r="B241" s="2" t="s">
        <v>350</v>
      </c>
      <c r="C241" s="2" t="s">
        <v>296</v>
      </c>
      <c r="D241" s="2" t="s">
        <v>431</v>
      </c>
      <c r="E241" s="6">
        <v>2300</v>
      </c>
      <c r="F241" s="18">
        <v>5552.07</v>
      </c>
      <c r="G241" s="18">
        <v>424.76</v>
      </c>
      <c r="H241" s="18">
        <f>29927.06+157138.15+12063.68</f>
        <v>199128.88999999998</v>
      </c>
      <c r="I241" s="18"/>
      <c r="J241" s="18"/>
      <c r="K241" s="18">
        <v>4560</v>
      </c>
      <c r="L241" s="19">
        <f t="shared" si="4"/>
        <v>209665.71999999997</v>
      </c>
      <c r="M241" s="8"/>
      <c r="N241" s="266"/>
    </row>
    <row r="242" spans="1:14" s="3" customFormat="1" ht="12.2" customHeight="1" x14ac:dyDescent="0.15">
      <c r="A242" s="1" t="s">
        <v>445</v>
      </c>
      <c r="B242" s="2" t="s">
        <v>350</v>
      </c>
      <c r="C242" s="2" t="s">
        <v>297</v>
      </c>
      <c r="D242" s="2" t="s">
        <v>431</v>
      </c>
      <c r="E242" s="6">
        <v>2400</v>
      </c>
      <c r="F242" s="18">
        <v>150876.4</v>
      </c>
      <c r="G242" s="18">
        <v>62975.24</v>
      </c>
      <c r="H242" s="18">
        <v>32509.15</v>
      </c>
      <c r="I242" s="18">
        <v>5701.07</v>
      </c>
      <c r="J242" s="18"/>
      <c r="K242" s="18">
        <v>5299.6</v>
      </c>
      <c r="L242" s="19">
        <f t="shared" si="4"/>
        <v>257361.46</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75162.210000000006</v>
      </c>
      <c r="G244" s="18">
        <v>25577.11</v>
      </c>
      <c r="H244" s="18">
        <v>106994.57</v>
      </c>
      <c r="I244" s="18">
        <v>78263.97</v>
      </c>
      <c r="J244" s="18">
        <v>2916.1</v>
      </c>
      <c r="K244" s="18"/>
      <c r="L244" s="19">
        <f t="shared" si="4"/>
        <v>288913.95999999996</v>
      </c>
      <c r="M244" s="8"/>
      <c r="N244" s="266"/>
    </row>
    <row r="245" spans="1:14" s="3" customFormat="1" ht="12.2" customHeight="1" x14ac:dyDescent="0.15">
      <c r="A245" s="1" t="s">
        <v>448</v>
      </c>
      <c r="B245" s="2" t="s">
        <v>350</v>
      </c>
      <c r="C245" s="2" t="s">
        <v>300</v>
      </c>
      <c r="D245" s="2" t="s">
        <v>431</v>
      </c>
      <c r="E245" s="6">
        <v>2700</v>
      </c>
      <c r="F245" s="18">
        <v>857.37</v>
      </c>
      <c r="G245" s="18">
        <v>184.6</v>
      </c>
      <c r="H245" s="18">
        <v>74759.240000000005</v>
      </c>
      <c r="I245" s="18">
        <v>968.67</v>
      </c>
      <c r="J245" s="18"/>
      <c r="K245" s="18"/>
      <c r="L245" s="19">
        <f t="shared" si="4"/>
        <v>76769.88</v>
      </c>
      <c r="M245" s="8"/>
      <c r="N245" s="266"/>
    </row>
    <row r="246" spans="1:14" s="3" customFormat="1" ht="12.2" customHeight="1" x14ac:dyDescent="0.15">
      <c r="A246" s="1" t="s">
        <v>449</v>
      </c>
      <c r="B246" s="2" t="s">
        <v>350</v>
      </c>
      <c r="C246" s="2" t="s">
        <v>343</v>
      </c>
      <c r="D246" s="2" t="s">
        <v>431</v>
      </c>
      <c r="E246" s="6">
        <v>2800</v>
      </c>
      <c r="F246" s="18"/>
      <c r="G246" s="18"/>
      <c r="H246" s="18"/>
      <c r="I246" s="18">
        <v>509.9</v>
      </c>
      <c r="J246" s="18"/>
      <c r="K246" s="18">
        <v>0</v>
      </c>
      <c r="L246" s="19">
        <f>SUM(F246:K246)</f>
        <v>509.9</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1606717.8599999999</v>
      </c>
      <c r="G248" s="41">
        <f t="shared" si="5"/>
        <v>827466.86</v>
      </c>
      <c r="H248" s="41">
        <f t="shared" si="5"/>
        <v>618691.37000000011</v>
      </c>
      <c r="I248" s="41">
        <f t="shared" si="5"/>
        <v>120752.51999999999</v>
      </c>
      <c r="J248" s="41">
        <f t="shared" si="5"/>
        <v>56637.97</v>
      </c>
      <c r="K248" s="41">
        <f t="shared" si="5"/>
        <v>27912.739999999998</v>
      </c>
      <c r="L248" s="41">
        <f t="shared" si="5"/>
        <v>3258179.32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2504668.5699999998</v>
      </c>
      <c r="G258" s="41">
        <f t="shared" si="8"/>
        <v>1217808.48</v>
      </c>
      <c r="H258" s="41">
        <f t="shared" si="8"/>
        <v>881469.47000000009</v>
      </c>
      <c r="I258" s="41">
        <f t="shared" si="8"/>
        <v>184889.59999999998</v>
      </c>
      <c r="J258" s="41">
        <f t="shared" si="8"/>
        <v>84428.85</v>
      </c>
      <c r="K258" s="41">
        <f t="shared" si="8"/>
        <v>39966.259999999995</v>
      </c>
      <c r="L258" s="41">
        <f t="shared" si="8"/>
        <v>4913231.2300000004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645000</v>
      </c>
      <c r="L261" s="19">
        <f>SUM(F261:K261)</f>
        <v>645000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172656.26</v>
      </c>
      <c r="L262" s="19">
        <f>SUM(F262:K262)</f>
        <v>172656.26</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18519.060000000001</v>
      </c>
      <c r="L264" s="19">
        <f>SUM(F264:K264)</f>
        <v>18519.060000000001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11990</v>
      </c>
      <c r="L269" s="19">
        <f t="shared" si="9"/>
        <v>11990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873165.32000000007</v>
      </c>
      <c r="L271" s="41">
        <f t="shared" si="9"/>
        <v>873165.32000000007</v>
      </c>
      <c r="M271" s="8"/>
      <c r="N271" s="266"/>
    </row>
    <row r="272" spans="1:14" s="34" customFormat="1" ht="12.2" customHeight="1" thickTop="1" x14ac:dyDescent="0.2">
      <c r="A272" s="43" t="s">
        <v>464</v>
      </c>
      <c r="B272" s="40">
        <v>10</v>
      </c>
      <c r="C272" s="40">
        <v>18</v>
      </c>
      <c r="D272" s="39" t="s">
        <v>431</v>
      </c>
      <c r="E272" s="40"/>
      <c r="F272" s="42">
        <f t="shared" ref="F272:L272" si="11">F258+F271</f>
        <v>2504668.5699999998</v>
      </c>
      <c r="G272" s="42">
        <f t="shared" si="11"/>
        <v>1217808.48</v>
      </c>
      <c r="H272" s="42">
        <f t="shared" si="11"/>
        <v>881469.47000000009</v>
      </c>
      <c r="I272" s="42">
        <f t="shared" si="11"/>
        <v>184889.59999999998</v>
      </c>
      <c r="J272" s="42">
        <f t="shared" si="11"/>
        <v>84428.85</v>
      </c>
      <c r="K272" s="42">
        <f t="shared" si="11"/>
        <v>913131.58000000007</v>
      </c>
      <c r="L272" s="42">
        <f t="shared" si="11"/>
        <v>5786396.5500000007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0</v>
      </c>
      <c r="G277" s="18">
        <v>0</v>
      </c>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11600.05</v>
      </c>
      <c r="G296" s="18">
        <v>4572.1400000000003</v>
      </c>
      <c r="H296" s="18"/>
      <c r="I296" s="18">
        <v>464.38</v>
      </c>
      <c r="J296" s="18"/>
      <c r="K296" s="18"/>
      <c r="L296" s="19">
        <f>SUM(F296:K296)</f>
        <v>16636.57</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t="s">
        <v>286</v>
      </c>
      <c r="G301" s="18" t="s">
        <v>286</v>
      </c>
      <c r="H301" s="18" t="s">
        <v>286</v>
      </c>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1750</v>
      </c>
      <c r="G302" s="18">
        <f>133.88+303.8</f>
        <v>437.68</v>
      </c>
      <c r="H302" s="18">
        <v>39068.400000000001</v>
      </c>
      <c r="I302" s="18"/>
      <c r="J302" s="18"/>
      <c r="K302" s="18"/>
      <c r="L302" s="19">
        <f t="shared" si="14"/>
        <v>41256.080000000002</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v>1198.55</v>
      </c>
      <c r="L303" s="19">
        <f t="shared" si="14"/>
        <v>1198.55</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13350.05</v>
      </c>
      <c r="G310" s="42">
        <f t="shared" si="15"/>
        <v>5009.8200000000006</v>
      </c>
      <c r="H310" s="42">
        <f t="shared" si="15"/>
        <v>39068.400000000001</v>
      </c>
      <c r="I310" s="42">
        <f t="shared" si="15"/>
        <v>464.38</v>
      </c>
      <c r="J310" s="42">
        <f t="shared" si="15"/>
        <v>0</v>
      </c>
      <c r="K310" s="42">
        <f t="shared" si="15"/>
        <v>1198.55</v>
      </c>
      <c r="L310" s="41">
        <f t="shared" si="15"/>
        <v>59091.200000000004</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36137.949999999997</v>
      </c>
      <c r="G315" s="18">
        <v>15331.88</v>
      </c>
      <c r="H315" s="18"/>
      <c r="I315" s="18">
        <f>862.42+3959.4</f>
        <v>4821.82</v>
      </c>
      <c r="J315" s="18" t="s">
        <v>286</v>
      </c>
      <c r="K315" s="18"/>
      <c r="L315" s="19">
        <f>SUM(F315:K315)</f>
        <v>56291.649999999994</v>
      </c>
      <c r="M315" s="8"/>
      <c r="N315" s="266"/>
    </row>
    <row r="316" spans="1:14" s="3" customFormat="1" ht="12.2" customHeight="1" x14ac:dyDescent="0.15">
      <c r="A316" s="1" t="s">
        <v>439</v>
      </c>
      <c r="B316" s="2" t="s">
        <v>359</v>
      </c>
      <c r="C316" s="2" t="s">
        <v>291</v>
      </c>
      <c r="D316" s="2" t="s">
        <v>431</v>
      </c>
      <c r="E316" s="6">
        <v>1200</v>
      </c>
      <c r="F316" s="18">
        <f>5180+28720.48+175</f>
        <v>34075.479999999996</v>
      </c>
      <c r="G316" s="18">
        <f>1388+206.16+26.88+379.65+2017.42+833.8+5112.25+2966.76+77.34+10.08+13.39+19.92</f>
        <v>13051.65</v>
      </c>
      <c r="H316" s="18">
        <f>27218.7</f>
        <v>27218.7</v>
      </c>
      <c r="I316" s="18"/>
      <c r="J316" s="18"/>
      <c r="K316" s="18"/>
      <c r="L316" s="19">
        <f>SUM(F316:K316)</f>
        <v>74345.83</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t="s">
        <v>286</v>
      </c>
      <c r="G320" s="18" t="s">
        <v>286</v>
      </c>
      <c r="H320" s="18">
        <v>700.05</v>
      </c>
      <c r="I320" s="18" t="s">
        <v>286</v>
      </c>
      <c r="J320" s="18"/>
      <c r="K320" s="18"/>
      <c r="L320" s="19">
        <f t="shared" ref="L320:L326" si="16">SUM(F320:K320)</f>
        <v>700.05</v>
      </c>
      <c r="M320" s="8"/>
      <c r="N320" s="266"/>
    </row>
    <row r="321" spans="1:14" s="3" customFormat="1" ht="12.2" customHeight="1" x14ac:dyDescent="0.15">
      <c r="A321" s="1" t="s">
        <v>443</v>
      </c>
      <c r="B321" s="2" t="s">
        <v>359</v>
      </c>
      <c r="C321" s="2" t="s">
        <v>295</v>
      </c>
      <c r="D321" s="2" t="s">
        <v>431</v>
      </c>
      <c r="E321" s="6">
        <v>2200</v>
      </c>
      <c r="F321" s="18">
        <f>3250</f>
        <v>3250</v>
      </c>
      <c r="G321" s="18">
        <f>248.62+564.2</f>
        <v>812.82</v>
      </c>
      <c r="H321" s="18">
        <f>72555.6</f>
        <v>72555.600000000006</v>
      </c>
      <c r="I321" s="18"/>
      <c r="J321" s="18"/>
      <c r="K321" s="18"/>
      <c r="L321" s="19">
        <f t="shared" si="16"/>
        <v>76618.420000000013</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f>2225.89+1184.39+2519.52</f>
        <v>5929.7999999999993</v>
      </c>
      <c r="L322" s="19">
        <f t="shared" si="16"/>
        <v>5929.7999999999993</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73463.429999999993</v>
      </c>
      <c r="G329" s="42">
        <f t="shared" si="17"/>
        <v>29196.35</v>
      </c>
      <c r="H329" s="42">
        <f t="shared" si="17"/>
        <v>100474.35</v>
      </c>
      <c r="I329" s="42">
        <f t="shared" si="17"/>
        <v>4821.82</v>
      </c>
      <c r="J329" s="42">
        <f t="shared" si="17"/>
        <v>0</v>
      </c>
      <c r="K329" s="42">
        <f t="shared" si="17"/>
        <v>5929.7999999999993</v>
      </c>
      <c r="L329" s="41">
        <f t="shared" si="17"/>
        <v>213885.75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86813.48</v>
      </c>
      <c r="G339" s="41">
        <f t="shared" si="20"/>
        <v>34206.17</v>
      </c>
      <c r="H339" s="41">
        <f t="shared" si="20"/>
        <v>139542.75</v>
      </c>
      <c r="I339" s="41">
        <f t="shared" si="20"/>
        <v>5286.2</v>
      </c>
      <c r="J339" s="41">
        <f t="shared" si="20"/>
        <v>0</v>
      </c>
      <c r="K339" s="41">
        <f t="shared" si="20"/>
        <v>7128.3499999999995</v>
      </c>
      <c r="L339" s="41">
        <f t="shared" si="20"/>
        <v>272976.95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86813.48</v>
      </c>
      <c r="G353" s="41">
        <f>G339</f>
        <v>34206.17</v>
      </c>
      <c r="H353" s="41">
        <f>H339</f>
        <v>139542.75</v>
      </c>
      <c r="I353" s="41">
        <f>I339</f>
        <v>5286.2</v>
      </c>
      <c r="J353" s="41">
        <f>J339</f>
        <v>0</v>
      </c>
      <c r="K353" s="47">
        <f>K339+K352</f>
        <v>7128.3499999999995</v>
      </c>
      <c r="L353" s="41">
        <f>L339+L352</f>
        <v>272976.95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v>39439.75</v>
      </c>
      <c r="I360" s="18"/>
      <c r="J360" s="18"/>
      <c r="K360" s="18"/>
      <c r="L360" s="19">
        <f>SUM(F360:K360)</f>
        <v>39439.75</v>
      </c>
      <c r="M360" s="8"/>
      <c r="N360" s="266"/>
    </row>
    <row r="361" spans="1:22" s="3" customFormat="1" ht="12.2" customHeight="1" x14ac:dyDescent="0.15">
      <c r="A361" s="3" t="s">
        <v>543</v>
      </c>
      <c r="B361" s="2" t="s">
        <v>366</v>
      </c>
      <c r="C361" s="6">
        <v>3</v>
      </c>
      <c r="D361" s="2" t="s">
        <v>431</v>
      </c>
      <c r="E361" s="6"/>
      <c r="F361" s="18"/>
      <c r="G361" s="18"/>
      <c r="H361" s="18">
        <v>73245.25</v>
      </c>
      <c r="I361" s="18"/>
      <c r="J361" s="18"/>
      <c r="K361" s="18"/>
      <c r="L361" s="19">
        <f>SUM(F361:K361)</f>
        <v>73245.25</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112685</v>
      </c>
      <c r="I363" s="47">
        <f t="shared" si="22"/>
        <v>0</v>
      </c>
      <c r="J363" s="47">
        <f t="shared" si="22"/>
        <v>0</v>
      </c>
      <c r="K363" s="47">
        <f t="shared" si="22"/>
        <v>0</v>
      </c>
      <c r="L363" s="47">
        <f t="shared" si="22"/>
        <v>112685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25000</v>
      </c>
      <c r="H397" s="18">
        <v>7610.63</v>
      </c>
      <c r="I397" s="18"/>
      <c r="J397" s="24" t="s">
        <v>288</v>
      </c>
      <c r="K397" s="24" t="s">
        <v>288</v>
      </c>
      <c r="L397" s="56">
        <f t="shared" si="26"/>
        <v>32610.63</v>
      </c>
      <c r="M397" s="8"/>
      <c r="N397" s="266"/>
    </row>
    <row r="398" spans="1:14" s="3" customFormat="1" ht="12.2" customHeight="1" x14ac:dyDescent="0.15">
      <c r="A398" s="79" t="s">
        <v>515</v>
      </c>
      <c r="B398" s="2" t="s">
        <v>381</v>
      </c>
      <c r="C398" s="6">
        <v>10</v>
      </c>
      <c r="D398" s="2" t="s">
        <v>432</v>
      </c>
      <c r="E398" s="6"/>
      <c r="F398" s="18"/>
      <c r="G398" s="18"/>
      <c r="H398" s="18">
        <v>11446.6</v>
      </c>
      <c r="I398" s="18"/>
      <c r="J398" s="24" t="s">
        <v>288</v>
      </c>
      <c r="K398" s="24" t="s">
        <v>288</v>
      </c>
      <c r="L398" s="56">
        <f t="shared" si="26"/>
        <v>11446.6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3765.38</v>
      </c>
      <c r="I400" s="18"/>
      <c r="J400" s="24" t="s">
        <v>288</v>
      </c>
      <c r="K400" s="24" t="s">
        <v>288</v>
      </c>
      <c r="L400" s="56">
        <f t="shared" si="26"/>
        <v>3765.38</v>
      </c>
      <c r="M400" s="8"/>
      <c r="N400" s="266"/>
    </row>
    <row r="401" spans="1:21" s="3" customFormat="1" ht="12.2" customHeight="1" thickBot="1" x14ac:dyDescent="0.2">
      <c r="A401" s="79" t="s">
        <v>510</v>
      </c>
      <c r="B401" s="2" t="s">
        <v>381</v>
      </c>
      <c r="C401" s="6">
        <v>13</v>
      </c>
      <c r="D401" s="2" t="s">
        <v>432</v>
      </c>
      <c r="E401" s="6"/>
      <c r="F401" s="18"/>
      <c r="G401" s="18"/>
      <c r="H401" s="18">
        <v>283.25</v>
      </c>
      <c r="I401" s="18"/>
      <c r="J401" s="24" t="s">
        <v>288</v>
      </c>
      <c r="K401" s="24" t="s">
        <v>288</v>
      </c>
      <c r="L401" s="56">
        <f t="shared" si="26"/>
        <v>283.25</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23105.86</v>
      </c>
      <c r="I402" s="47">
        <f>SUM(I396:I401)</f>
        <v>0</v>
      </c>
      <c r="J402" s="45" t="s">
        <v>288</v>
      </c>
      <c r="K402" s="45" t="s">
        <v>288</v>
      </c>
      <c r="L402" s="47">
        <f>SUM(L396:L401)</f>
        <v>48105.86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v>
      </c>
      <c r="H409" s="47">
        <f>H394+H402+H408</f>
        <v>23105.86</v>
      </c>
      <c r="I409" s="47">
        <f>I394+I402+I408</f>
        <v>0</v>
      </c>
      <c r="J409" s="24" t="s">
        <v>288</v>
      </c>
      <c r="K409" s="24" t="s">
        <v>288</v>
      </c>
      <c r="L409" s="47">
        <f>L394+L402+L408</f>
        <v>48105.86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454343.94</v>
      </c>
      <c r="H440" s="18"/>
      <c r="I440" s="56">
        <f t="shared" ref="I440:I446" si="33">SUM(F440:H440)</f>
        <v>454343.94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454343.94</v>
      </c>
      <c r="H447" s="13">
        <f>SUM(H440:H446)</f>
        <v>0</v>
      </c>
      <c r="I447" s="13">
        <f>SUM(I440:I446)</f>
        <v>454343.94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454343.94</v>
      </c>
      <c r="H457" s="18"/>
      <c r="I457" s="56">
        <f t="shared" si="34"/>
        <v>454343.94</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454343.94</v>
      </c>
      <c r="H461" s="83">
        <f>SUM(H455:H460)</f>
        <v>0</v>
      </c>
      <c r="I461" s="83">
        <f>SUM(I455:I460)</f>
        <v>454343.94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454343.94</v>
      </c>
      <c r="H462" s="42">
        <f>H453+H461</f>
        <v>0</v>
      </c>
      <c r="I462" s="42">
        <f>I453+I461</f>
        <v>454343.94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246441.86</v>
      </c>
      <c r="G466" s="18"/>
      <c r="H466" s="18"/>
      <c r="I466" s="18"/>
      <c r="J466" s="18">
        <v>406238.08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5981423.5099999998</v>
      </c>
      <c r="G469" s="18">
        <v>112685</v>
      </c>
      <c r="H469" s="18">
        <v>272976.95</v>
      </c>
      <c r="I469" s="18"/>
      <c r="J469" s="18">
        <v>48105.86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5981423.5099999998</v>
      </c>
      <c r="G471" s="53">
        <f>SUM(G469:G470)</f>
        <v>112685</v>
      </c>
      <c r="H471" s="53">
        <f>SUM(H469:H470)</f>
        <v>272976.95</v>
      </c>
      <c r="I471" s="53">
        <f>SUM(I469:I470)</f>
        <v>0</v>
      </c>
      <c r="J471" s="53">
        <f>SUM(J469:J470)</f>
        <v>48105.86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5786396.5499999998</v>
      </c>
      <c r="G473" s="18">
        <v>112685</v>
      </c>
      <c r="H473" s="18">
        <v>272976.95</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5786396.5499999998</v>
      </c>
      <c r="G475" s="53">
        <f>SUM(G473:G474)</f>
        <v>112685</v>
      </c>
      <c r="H475" s="53">
        <f>SUM(H473:H474)</f>
        <v>272976.95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441468.8200000003</v>
      </c>
      <c r="G477" s="53">
        <f>(G466+G471)- G475</f>
        <v>0</v>
      </c>
      <c r="H477" s="53">
        <f>(H466+H471)- H475</f>
        <v>0</v>
      </c>
      <c r="I477" s="53">
        <f>(I466+I471)- I475</f>
        <v>0</v>
      </c>
      <c r="J477" s="53">
        <f>(J466+J471)- J475</f>
        <v>454343.94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12948800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5805000</v>
      </c>
      <c r="G496" s="18"/>
      <c r="H496" s="18"/>
      <c r="I496" s="18"/>
      <c r="J496" s="18"/>
      <c r="K496" s="53">
        <f>SUM(F496:J496)</f>
        <v>5805000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645000</v>
      </c>
      <c r="G498" s="18"/>
      <c r="H498" s="18"/>
      <c r="I498" s="18"/>
      <c r="J498" s="18"/>
      <c r="K498" s="53">
        <f t="shared" si="35"/>
        <v>645000</v>
      </c>
      <c r="L498" s="24" t="s">
        <v>288</v>
      </c>
      <c r="N498" s="265"/>
    </row>
    <row r="499" spans="1:14" s="52" customFormat="1" ht="12.2" customHeight="1" x14ac:dyDescent="0.2">
      <c r="A499" s="200" t="s">
        <v>622</v>
      </c>
      <c r="B499" s="201">
        <v>20</v>
      </c>
      <c r="C499" s="202">
        <v>9</v>
      </c>
      <c r="D499" s="203" t="s">
        <v>432</v>
      </c>
      <c r="E499" s="202"/>
      <c r="F499" s="204">
        <v>5160000</v>
      </c>
      <c r="G499" s="204"/>
      <c r="H499" s="204"/>
      <c r="I499" s="204"/>
      <c r="J499" s="204"/>
      <c r="K499" s="205">
        <f t="shared" si="35"/>
        <v>5160000</v>
      </c>
      <c r="L499" s="206" t="s">
        <v>288</v>
      </c>
      <c r="N499" s="265"/>
    </row>
    <row r="500" spans="1:14" s="52" customFormat="1" ht="12.2" customHeight="1" thickBot="1" x14ac:dyDescent="0.25">
      <c r="A500" s="22" t="s">
        <v>623</v>
      </c>
      <c r="B500" s="75">
        <v>20</v>
      </c>
      <c r="C500" s="115">
        <v>10</v>
      </c>
      <c r="D500" s="2" t="s">
        <v>432</v>
      </c>
      <c r="E500" s="115"/>
      <c r="F500" s="18">
        <v>547644.54</v>
      </c>
      <c r="G500" s="18"/>
      <c r="H500" s="18"/>
      <c r="I500" s="18"/>
      <c r="J500" s="18"/>
      <c r="K500" s="53">
        <f t="shared" si="35"/>
        <v>547644.54</v>
      </c>
      <c r="L500" s="24" t="s">
        <v>288</v>
      </c>
      <c r="N500" s="265"/>
    </row>
    <row r="501" spans="1:14" s="52" customFormat="1" ht="12.2" customHeight="1" thickTop="1" x14ac:dyDescent="0.2">
      <c r="A501" s="139" t="s">
        <v>624</v>
      </c>
      <c r="B501" s="44">
        <v>20</v>
      </c>
      <c r="C501" s="195">
        <v>11</v>
      </c>
      <c r="D501" s="39" t="s">
        <v>432</v>
      </c>
      <c r="E501" s="195"/>
      <c r="F501" s="42">
        <f>SUM(F499:F500)</f>
        <v>5707644.54</v>
      </c>
      <c r="G501" s="42">
        <f>SUM(G499:G500)</f>
        <v>0</v>
      </c>
      <c r="H501" s="42">
        <f>SUM(H499:H500)</f>
        <v>0</v>
      </c>
      <c r="I501" s="42">
        <f>SUM(I499:I500)</f>
        <v>0</v>
      </c>
      <c r="J501" s="42">
        <f>SUM(J499:J500)</f>
        <v>0</v>
      </c>
      <c r="K501" s="42">
        <f t="shared" si="35"/>
        <v>5707644.54</v>
      </c>
      <c r="L501" s="45" t="s">
        <v>288</v>
      </c>
      <c r="N501" s="265"/>
    </row>
    <row r="502" spans="1:14" s="52" customFormat="1" ht="12.2" customHeight="1" x14ac:dyDescent="0.2">
      <c r="A502" s="200" t="s">
        <v>651</v>
      </c>
      <c r="B502" s="201">
        <v>20</v>
      </c>
      <c r="C502" s="202">
        <v>12</v>
      </c>
      <c r="D502" s="203" t="s">
        <v>432</v>
      </c>
      <c r="E502" s="202"/>
      <c r="F502" s="204">
        <v>645000</v>
      </c>
      <c r="G502" s="204"/>
      <c r="H502" s="204"/>
      <c r="I502" s="204"/>
      <c r="J502" s="204"/>
      <c r="K502" s="205">
        <f t="shared" si="35"/>
        <v>645000</v>
      </c>
      <c r="L502" s="206" t="s">
        <v>288</v>
      </c>
      <c r="N502" s="265"/>
    </row>
    <row r="503" spans="1:14" s="52" customFormat="1" ht="12.2" customHeight="1" thickBot="1" x14ac:dyDescent="0.25">
      <c r="A503" s="22" t="s">
        <v>625</v>
      </c>
      <c r="B503" s="75">
        <v>20</v>
      </c>
      <c r="C503" s="115">
        <v>13</v>
      </c>
      <c r="D503" s="2" t="s">
        <v>432</v>
      </c>
      <c r="E503" s="115"/>
      <c r="F503" s="18">
        <v>130732</v>
      </c>
      <c r="G503" s="18"/>
      <c r="H503" s="18"/>
      <c r="I503" s="18"/>
      <c r="J503" s="18"/>
      <c r="K503" s="53">
        <f t="shared" si="35"/>
        <v>130732</v>
      </c>
      <c r="L503" s="24" t="s">
        <v>288</v>
      </c>
      <c r="N503" s="265"/>
    </row>
    <row r="504" spans="1:14" s="52" customFormat="1" ht="12.2" customHeight="1" thickTop="1" x14ac:dyDescent="0.2">
      <c r="A504" s="139" t="s">
        <v>626</v>
      </c>
      <c r="B504" s="44">
        <v>20</v>
      </c>
      <c r="C504" s="195">
        <v>14</v>
      </c>
      <c r="D504" s="39" t="s">
        <v>432</v>
      </c>
      <c r="E504" s="195"/>
      <c r="F504" s="42">
        <f>SUM(F502:F503)</f>
        <v>775732</v>
      </c>
      <c r="G504" s="42">
        <f>SUM(G502:G503)</f>
        <v>0</v>
      </c>
      <c r="H504" s="42">
        <f>SUM(H502:H503)</f>
        <v>0</v>
      </c>
      <c r="I504" s="42">
        <f>SUM(I502:I503)</f>
        <v>0</v>
      </c>
      <c r="J504" s="42">
        <f>SUM(J502:J503)</f>
        <v>0</v>
      </c>
      <c r="K504" s="42">
        <f t="shared" si="35"/>
        <v>775732</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v>159892.49</v>
      </c>
      <c r="G523" s="18">
        <v>58496.959999999999</v>
      </c>
      <c r="H523" s="18">
        <v>249.38</v>
      </c>
      <c r="I523" s="18">
        <v>390.54</v>
      </c>
      <c r="J523" s="18">
        <v>8.31</v>
      </c>
      <c r="K523" s="18"/>
      <c r="L523" s="88">
        <f>SUM(F523:K523)</f>
        <v>219037.68</v>
      </c>
      <c r="N523" s="265"/>
    </row>
    <row r="524" spans="1:14" s="52" customFormat="1" ht="12.2" customHeight="1" thickBot="1" x14ac:dyDescent="0.25">
      <c r="A524" s="22" t="s">
        <v>635</v>
      </c>
      <c r="B524" s="105">
        <v>21</v>
      </c>
      <c r="C524" s="115">
        <v>3</v>
      </c>
      <c r="D524" s="2" t="s">
        <v>432</v>
      </c>
      <c r="E524" s="115"/>
      <c r="F524" s="18">
        <v>192007.54</v>
      </c>
      <c r="G524" s="18">
        <v>102685.42</v>
      </c>
      <c r="H524" s="18">
        <v>80846.14</v>
      </c>
      <c r="I524" s="18">
        <v>4896.16</v>
      </c>
      <c r="J524" s="18">
        <v>15.43</v>
      </c>
      <c r="K524" s="18"/>
      <c r="L524" s="88">
        <f>SUM(F524:K524)</f>
        <v>380450.69</v>
      </c>
      <c r="N524" s="265"/>
    </row>
    <row r="525" spans="1:14" s="52" customFormat="1" ht="12.2" customHeight="1" thickTop="1" x14ac:dyDescent="0.2">
      <c r="A525" s="139" t="s">
        <v>63</v>
      </c>
      <c r="B525" s="107">
        <v>21</v>
      </c>
      <c r="C525" s="195">
        <v>4</v>
      </c>
      <c r="D525" s="196" t="s">
        <v>432</v>
      </c>
      <c r="E525" s="195"/>
      <c r="F525" s="108">
        <f>SUM(F522:F524)</f>
        <v>351900.03</v>
      </c>
      <c r="G525" s="108">
        <f t="shared" ref="G525:L525" si="36">SUM(G522:G524)</f>
        <v>161182.38</v>
      </c>
      <c r="H525" s="108">
        <f t="shared" si="36"/>
        <v>81095.520000000004</v>
      </c>
      <c r="I525" s="108">
        <f t="shared" si="36"/>
        <v>5286.7</v>
      </c>
      <c r="J525" s="108">
        <f t="shared" si="36"/>
        <v>23.740000000000002</v>
      </c>
      <c r="K525" s="108">
        <f t="shared" si="36"/>
        <v>0</v>
      </c>
      <c r="L525" s="89">
        <f t="shared" si="36"/>
        <v>599488.37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v>33883.089999999997</v>
      </c>
      <c r="I528" s="18"/>
      <c r="J528" s="18"/>
      <c r="K528" s="18"/>
      <c r="L528" s="88">
        <f>SUM(F528:K528)</f>
        <v>33883.089999999997</v>
      </c>
      <c r="M528" s="8"/>
      <c r="N528" s="266"/>
    </row>
    <row r="529" spans="1:14" s="3" customFormat="1" ht="12.2" customHeight="1" thickBot="1" x14ac:dyDescent="0.2">
      <c r="A529" s="22" t="s">
        <v>635</v>
      </c>
      <c r="B529" s="118">
        <v>21</v>
      </c>
      <c r="C529" s="118">
        <v>7</v>
      </c>
      <c r="D529" s="2" t="s">
        <v>432</v>
      </c>
      <c r="E529" s="118"/>
      <c r="F529" s="18"/>
      <c r="G529" s="18"/>
      <c r="H529" s="18">
        <v>60743.8</v>
      </c>
      <c r="I529" s="18"/>
      <c r="J529" s="18"/>
      <c r="K529" s="18"/>
      <c r="L529" s="88">
        <f>SUM(F529:K529)</f>
        <v>60743.8</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94626.89</v>
      </c>
      <c r="I530" s="89">
        <f t="shared" si="37"/>
        <v>0</v>
      </c>
      <c r="J530" s="89">
        <f t="shared" si="37"/>
        <v>0</v>
      </c>
      <c r="K530" s="89">
        <f t="shared" si="37"/>
        <v>0</v>
      </c>
      <c r="L530" s="89">
        <f t="shared" si="37"/>
        <v>94626.89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21218.94</v>
      </c>
      <c r="I544" s="18"/>
      <c r="J544" s="18"/>
      <c r="K544" s="18"/>
      <c r="L544" s="88">
        <f>SUM(F544:K544)</f>
        <v>21218.94</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21218.94</v>
      </c>
      <c r="I545" s="193">
        <f t="shared" si="40"/>
        <v>0</v>
      </c>
      <c r="J545" s="193">
        <f t="shared" si="40"/>
        <v>0</v>
      </c>
      <c r="K545" s="193">
        <f t="shared" si="40"/>
        <v>0</v>
      </c>
      <c r="L545" s="193">
        <f t="shared" si="40"/>
        <v>21218.94</v>
      </c>
      <c r="M545" s="8"/>
      <c r="N545" s="266"/>
    </row>
    <row r="546" spans="1:14" s="3" customFormat="1" ht="12.2" customHeight="1" thickTop="1" x14ac:dyDescent="0.15">
      <c r="A546" s="98" t="s">
        <v>72</v>
      </c>
      <c r="B546" s="107">
        <v>21</v>
      </c>
      <c r="C546" s="107">
        <v>21</v>
      </c>
      <c r="D546" s="158" t="s">
        <v>432</v>
      </c>
      <c r="E546" s="107"/>
      <c r="F546" s="89">
        <f>F525+F530+F535+F540+F545</f>
        <v>351900.03</v>
      </c>
      <c r="G546" s="89">
        <f t="shared" ref="G546:L546" si="41">G525+G530+G535+G540+G545</f>
        <v>161182.38</v>
      </c>
      <c r="H546" s="89">
        <f t="shared" si="41"/>
        <v>196941.35</v>
      </c>
      <c r="I546" s="89">
        <f t="shared" si="41"/>
        <v>5286.7</v>
      </c>
      <c r="J546" s="89">
        <f t="shared" si="41"/>
        <v>23.740000000000002</v>
      </c>
      <c r="K546" s="89">
        <f t="shared" si="41"/>
        <v>0</v>
      </c>
      <c r="L546" s="89">
        <f t="shared" si="41"/>
        <v>715334.2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219037.68</v>
      </c>
      <c r="G551" s="87">
        <f>L528</f>
        <v>33883.089999999997</v>
      </c>
      <c r="H551" s="87">
        <f>L533</f>
        <v>0</v>
      </c>
      <c r="I551" s="87">
        <f>L538</f>
        <v>0</v>
      </c>
      <c r="J551" s="87">
        <f>L543</f>
        <v>0</v>
      </c>
      <c r="K551" s="87">
        <f>SUM(F551:J551)</f>
        <v>252920.77</v>
      </c>
      <c r="L551" s="24" t="s">
        <v>288</v>
      </c>
      <c r="M551" s="8"/>
      <c r="N551" s="266"/>
    </row>
    <row r="552" spans="1:14" s="3" customFormat="1" ht="12.2" customHeight="1" thickBot="1" x14ac:dyDescent="0.2">
      <c r="A552" s="22" t="s">
        <v>635</v>
      </c>
      <c r="B552" s="75">
        <v>21</v>
      </c>
      <c r="C552" s="75">
        <v>24</v>
      </c>
      <c r="D552" s="2" t="s">
        <v>432</v>
      </c>
      <c r="E552" s="75"/>
      <c r="F552" s="87">
        <f>L524</f>
        <v>380450.69</v>
      </c>
      <c r="G552" s="87">
        <f>L529</f>
        <v>60743.8</v>
      </c>
      <c r="H552" s="87">
        <f>L534</f>
        <v>0</v>
      </c>
      <c r="I552" s="87">
        <f>L539</f>
        <v>0</v>
      </c>
      <c r="J552" s="87">
        <f>L544</f>
        <v>21218.94</v>
      </c>
      <c r="K552" s="87">
        <f>SUM(F552:J552)</f>
        <v>462413.43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599488.37</v>
      </c>
      <c r="G553" s="89">
        <f t="shared" si="42"/>
        <v>94626.89</v>
      </c>
      <c r="H553" s="89">
        <f t="shared" si="42"/>
        <v>0</v>
      </c>
      <c r="I553" s="89">
        <f t="shared" si="42"/>
        <v>0</v>
      </c>
      <c r="J553" s="89">
        <f t="shared" si="42"/>
        <v>21218.94</v>
      </c>
      <c r="K553" s="89">
        <f t="shared" si="42"/>
        <v>715334.2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6950</v>
      </c>
      <c r="I576" s="87">
        <f>SUM(F576:H576)</f>
        <v>6950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f>9072.9+69195.16+27218.7</f>
        <v>105486.76</v>
      </c>
      <c r="I583" s="87">
        <f t="shared" si="47"/>
        <v>105486.76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22583.919999999998</v>
      </c>
      <c r="I585" s="87">
        <f t="shared" si="47"/>
        <v>22583.919999999998</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c r="K592" s="104">
        <f t="shared" ref="K592:K598" si="48">SUM(H592:J592)</f>
        <v>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f>0</f>
        <v>0</v>
      </c>
      <c r="J593" s="18">
        <v>21218.94</v>
      </c>
      <c r="K593" s="104">
        <f t="shared" si="48"/>
        <v>21218.94</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v>11809.66</v>
      </c>
      <c r="J594" s="18">
        <v>22292.240000000002</v>
      </c>
      <c r="K594" s="104">
        <f t="shared" si="48"/>
        <v>34101.9</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f>632.21+48.38+47.7+36.57+13274.98</f>
        <v>14039.84</v>
      </c>
      <c r="J595" s="18">
        <f>857.37+65.56+56.49+62.55+24653.38</f>
        <v>25695.350000000002</v>
      </c>
      <c r="K595" s="104">
        <f t="shared" si="48"/>
        <v>39735.19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f>939.51</f>
        <v>939.51</v>
      </c>
      <c r="J596" s="18">
        <v>2703.18</v>
      </c>
      <c r="K596" s="104">
        <f t="shared" si="48"/>
        <v>3642.6899999999996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f>1678.15+521.6</f>
        <v>2199.75</v>
      </c>
      <c r="J598" s="18">
        <f>3891.5+968.67</f>
        <v>4860.17</v>
      </c>
      <c r="K598" s="104">
        <f t="shared" si="48"/>
        <v>7059.92</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28988.76</v>
      </c>
      <c r="J599" s="108">
        <f>SUM(J592:J598)</f>
        <v>76769.87999999999</v>
      </c>
      <c r="K599" s="108">
        <f>SUM(K592:K598)</f>
        <v>105758.64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v>27790.880000000001</v>
      </c>
      <c r="J605" s="18">
        <v>56637.97</v>
      </c>
      <c r="K605" s="104">
        <f>SUM(H605:J605)</f>
        <v>84428.85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27790.880000000001</v>
      </c>
      <c r="J606" s="108">
        <f>SUM(J603:J605)</f>
        <v>56637.97</v>
      </c>
      <c r="K606" s="108">
        <f>SUM(K603:K605)</f>
        <v>84428.85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507132.99999999994</v>
      </c>
      <c r="H618" s="109">
        <f>SUM(F52)</f>
        <v>507132.99999999994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7720.05</v>
      </c>
      <c r="H619" s="109">
        <f>SUM(G52)</f>
        <v>7720.05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29898.43</v>
      </c>
      <c r="H620" s="109">
        <f>SUM(H52)</f>
        <v>29898.43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454343.94</v>
      </c>
      <c r="H622" s="109">
        <f>SUM(J52)</f>
        <v>454343.94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441468.81999999995</v>
      </c>
      <c r="H623" s="109">
        <f>F477</f>
        <v>441468.8200000003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454343.94</v>
      </c>
      <c r="H627" s="109">
        <f>J477</f>
        <v>454343.94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5981423.5100000007</v>
      </c>
      <c r="H628" s="104">
        <f>SUM(F469)</f>
        <v>5981423.5099999998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112685</v>
      </c>
      <c r="H629" s="104">
        <f>SUM(G469)</f>
        <v>112685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272976.95</v>
      </c>
      <c r="H630" s="104">
        <f>SUM(H469)</f>
        <v>272976.95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48105.86</v>
      </c>
      <c r="H632" s="104">
        <f>SUM(J469)</f>
        <v>48105.86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5786396.5500000007</v>
      </c>
      <c r="H633" s="104">
        <f>SUM(F473)</f>
        <v>5786396.5499999998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272976.95</v>
      </c>
      <c r="H634" s="104">
        <f>SUM(H473)</f>
        <v>272976.95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112685</v>
      </c>
      <c r="H636" s="104">
        <f>SUM(G473)</f>
        <v>112685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48105.86</v>
      </c>
      <c r="H638" s="164">
        <f>SUM(J469)</f>
        <v>48105.86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454343.94</v>
      </c>
      <c r="H641" s="104">
        <f>SUM(G462)</f>
        <v>454343.94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454343.94</v>
      </c>
      <c r="H643" s="104">
        <f>SUM(I462)</f>
        <v>454343.94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23105.86</v>
      </c>
      <c r="H645" s="104">
        <f>H409</f>
        <v>23105.86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48105.86</v>
      </c>
      <c r="H647" s="104">
        <f>L409</f>
        <v>48105.86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105758.64</v>
      </c>
      <c r="H648" s="104">
        <f>L209+L227+L245</f>
        <v>105758.64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84428.85</v>
      </c>
      <c r="H649" s="104">
        <f>(J258+J339)-(J256+J337)</f>
        <v>84428.85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28988.76</v>
      </c>
      <c r="H651" s="104">
        <f>I599</f>
        <v>28988.76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76769.88</v>
      </c>
      <c r="H652" s="104">
        <f>J599</f>
        <v>76769.87999999999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18519.060000000001</v>
      </c>
      <c r="H653" s="104">
        <f>K264+K346</f>
        <v>18519.060000000001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0</v>
      </c>
      <c r="G661" s="19">
        <f>(L230+L310+L360)</f>
        <v>1753582.86</v>
      </c>
      <c r="H661" s="19">
        <f>(L248+L329+L361)</f>
        <v>3545310.32</v>
      </c>
      <c r="I661" s="19">
        <f>SUM(F661:H661)</f>
        <v>5298893.18</v>
      </c>
      <c r="J661" s="13"/>
      <c r="K661" s="13"/>
      <c r="L661" s="13"/>
      <c r="M661" s="9"/>
    </row>
    <row r="662" spans="1:13" s="3" customFormat="1" ht="12.2" customHeight="1" x14ac:dyDescent="0.2">
      <c r="A662" s="1" t="s">
        <v>127</v>
      </c>
      <c r="F662" s="19">
        <f>(L359/IF(SUM(L359:L361)=0,1,SUM(L359:L361))*(SUM(G97:G110)))</f>
        <v>0</v>
      </c>
      <c r="G662" s="19">
        <f>(L360/IF(SUM(L359:L361)=0,1,SUM(L359:L361))*(SUM(G97:G110)))</f>
        <v>16210.508999999998</v>
      </c>
      <c r="H662" s="19">
        <f>(L361/IF(SUM(L359:L361)=0,1,SUM(L359:L361))*(SUM(G97:G110)))</f>
        <v>30105.231</v>
      </c>
      <c r="I662" s="19">
        <f>SUM(F662:H662)</f>
        <v>46315.74</v>
      </c>
      <c r="J662"/>
      <c r="K662" s="13"/>
      <c r="L662" s="13"/>
      <c r="M662" s="8"/>
    </row>
    <row r="663" spans="1:13" s="3" customFormat="1" ht="12.2" customHeight="1" x14ac:dyDescent="0.2">
      <c r="A663" s="1" t="s">
        <v>128</v>
      </c>
      <c r="F663" s="19">
        <f>(L209+L288)-(J209+J288)</f>
        <v>0</v>
      </c>
      <c r="G663" s="19">
        <f>(L227+L307)-(J227+J307)</f>
        <v>28988.76</v>
      </c>
      <c r="H663" s="19">
        <f>(L245+L326)-(J245+J326)</f>
        <v>76769.88</v>
      </c>
      <c r="I663" s="19">
        <f>SUM(F663:H663)</f>
        <v>105758.64</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27790.880000000001</v>
      </c>
      <c r="H664" s="199">
        <f>SUM(H576:H588)+SUM(J603:J605)+L614</f>
        <v>191658.65</v>
      </c>
      <c r="I664" s="19">
        <f>SUM(F664:H664)</f>
        <v>219449.53</v>
      </c>
      <c r="J664" s="13"/>
      <c r="K664" s="13"/>
      <c r="L664" s="13"/>
      <c r="M664" s="9"/>
    </row>
    <row r="665" spans="1:13" s="3" customFormat="1" ht="12.2" customHeight="1" x14ac:dyDescent="0.15">
      <c r="A665" s="1" t="s">
        <v>130</v>
      </c>
      <c r="F665" s="19">
        <f>F661-SUM(F662:F664)</f>
        <v>0</v>
      </c>
      <c r="G665" s="19">
        <f>G661-SUM(G662:G664)</f>
        <v>1680592.7110000001</v>
      </c>
      <c r="H665" s="19">
        <f>H661-SUM(H662:H664)</f>
        <v>3246776.5589999999</v>
      </c>
      <c r="I665" s="19">
        <f>I661-SUM(I662:I664)</f>
        <v>4927369.2699999996</v>
      </c>
      <c r="J665" s="13"/>
      <c r="K665" s="13"/>
      <c r="L665" s="13"/>
      <c r="M665" s="8"/>
    </row>
    <row r="666" spans="1:13" s="3" customFormat="1" ht="12.2" customHeight="1" x14ac:dyDescent="0.2">
      <c r="A666" s="1" t="s">
        <v>131</v>
      </c>
      <c r="F666" s="246">
        <v>0</v>
      </c>
      <c r="G666" s="247">
        <v>84.96</v>
      </c>
      <c r="H666" s="247">
        <v>123.58</v>
      </c>
      <c r="I666" s="19">
        <f>SUM(F666:H666)</f>
        <v>208.54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f>ROUND(G665/G666,2)</f>
        <v>19780.990000000002</v>
      </c>
      <c r="H668" s="19">
        <f>ROUND(H665/H666,2)</f>
        <v>26272.67</v>
      </c>
      <c r="I668" s="19">
        <f>ROUND(I665/I666,2)</f>
        <v>23627.93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-4.8899999999999997</v>
      </c>
      <c r="I671" s="19">
        <f>SUM(F671:H671)</f>
        <v>-4.8899999999999997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f>ROUND((G665+G670)/(G666+G671),2)</f>
        <v>19780.990000000002</v>
      </c>
      <c r="H673" s="19">
        <f>ROUND((H665+H670)/(H666+H671),2)</f>
        <v>27355.1</v>
      </c>
      <c r="I673" s="19">
        <f>ROUND((I665+I670)/(I666+I671),2)</f>
        <v>24195.279999999999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PROFILE SCHOOL DISTRICT</v>
      </c>
      <c r="C5" s="344"/>
      <c r="D5" s="344"/>
      <c r="E5" s="344"/>
      <c r="F5" s="344"/>
    </row>
    <row r="8" spans="1:9" ht="18" x14ac:dyDescent="0.25">
      <c r="A8" s="323" t="s">
        <v>1591</v>
      </c>
      <c r="F8" s="330" t="s">
        <v>1609</v>
      </c>
    </row>
    <row r="9" spans="1:9" ht="15" x14ac:dyDescent="0.2">
      <c r="A9" s="321" t="s">
        <v>1592</v>
      </c>
      <c r="B9" s="324">
        <f>'DOE25'!G97</f>
        <v>46315.74</v>
      </c>
      <c r="F9" s="321" t="s">
        <v>1605</v>
      </c>
    </row>
    <row r="10" spans="1:9" ht="15" x14ac:dyDescent="0.2">
      <c r="A10" s="321" t="s">
        <v>1593</v>
      </c>
      <c r="B10" s="324">
        <f>'DOE25'!G112-'DOE25'!G97</f>
        <v>0</v>
      </c>
      <c r="F10" s="321" t="s">
        <v>1606</v>
      </c>
    </row>
    <row r="11" spans="1:9" ht="15" x14ac:dyDescent="0.2">
      <c r="A11" s="321" t="s">
        <v>1594</v>
      </c>
      <c r="B11" s="324">
        <f>'DOE25'!G140</f>
        <v>1436.72</v>
      </c>
      <c r="F11" s="321" t="s">
        <v>1607</v>
      </c>
    </row>
    <row r="12" spans="1:9" ht="15" x14ac:dyDescent="0.2">
      <c r="A12" s="321" t="s">
        <v>1595</v>
      </c>
      <c r="B12" s="324">
        <f>'DOE25'!G170</f>
        <v>46413.48</v>
      </c>
      <c r="F12" s="321" t="s">
        <v>1608</v>
      </c>
    </row>
    <row r="13" spans="1:9" ht="15" x14ac:dyDescent="0.2">
      <c r="A13" s="321" t="s">
        <v>1596</v>
      </c>
      <c r="B13" s="324">
        <f>'DOE25'!G193-'DOE25'!G180</f>
        <v>0</v>
      </c>
      <c r="F13" s="321" t="s">
        <v>1618</v>
      </c>
    </row>
    <row r="14" spans="1:9" ht="18" x14ac:dyDescent="0.25">
      <c r="A14" s="323" t="s">
        <v>732</v>
      </c>
      <c r="B14" s="325">
        <f>SUM(B9:B13)</f>
        <v>94165.94</v>
      </c>
    </row>
    <row r="16" spans="1:9" ht="18" x14ac:dyDescent="0.25">
      <c r="A16" s="323" t="s">
        <v>786</v>
      </c>
      <c r="F16" s="330" t="s">
        <v>1610</v>
      </c>
    </row>
    <row r="17" spans="1:6" ht="15" x14ac:dyDescent="0.2">
      <c r="A17" s="321" t="s">
        <v>1597</v>
      </c>
      <c r="B17" s="324">
        <f>'DOE25'!L363-'DOE25'!L362</f>
        <v>112685</v>
      </c>
      <c r="F17" s="321" t="s">
        <v>1611</v>
      </c>
    </row>
    <row r="18" spans="1:6" ht="15" x14ac:dyDescent="0.2">
      <c r="A18" s="321" t="s">
        <v>1598</v>
      </c>
      <c r="B18" s="338">
        <v>0</v>
      </c>
      <c r="F18" s="330" t="s">
        <v>1637</v>
      </c>
    </row>
    <row r="19" spans="1:6" ht="18" x14ac:dyDescent="0.25">
      <c r="A19" s="323" t="s">
        <v>725</v>
      </c>
      <c r="B19" s="325">
        <f>SUM(B17:B18)</f>
        <v>112685</v>
      </c>
    </row>
    <row r="21" spans="1:6" ht="18.75" thickBot="1" x14ac:dyDescent="0.3">
      <c r="A21" s="323" t="s">
        <v>1599</v>
      </c>
    </row>
    <row r="22" spans="1:6" ht="18.75" thickTop="1" x14ac:dyDescent="0.25">
      <c r="A22" s="323" t="s">
        <v>1600</v>
      </c>
      <c r="B22" s="329">
        <f>B14-B19</f>
        <v>-18519.059999999998</v>
      </c>
      <c r="F22" s="321" t="s">
        <v>1612</v>
      </c>
    </row>
    <row r="26" spans="1:6" ht="18" x14ac:dyDescent="0.25">
      <c r="A26" s="323" t="s">
        <v>186</v>
      </c>
    </row>
    <row r="27" spans="1:6" ht="15" x14ac:dyDescent="0.2">
      <c r="A27" s="321" t="s">
        <v>1601</v>
      </c>
      <c r="B27" s="324">
        <f>'DOE25'!G180</f>
        <v>18519.060000000001</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8640.9699999999993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PROFILE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1463114.3399999999</v>
      </c>
      <c r="C9" s="229">
        <f>'DOE25'!G198+'DOE25'!G216+'DOE25'!G234+'DOE25'!G277+'DOE25'!G296+'DOE25'!G315</f>
        <v>755434.43</v>
      </c>
    </row>
    <row r="10" spans="1:3" x14ac:dyDescent="0.2">
      <c r="A10" t="s">
        <v>775</v>
      </c>
      <c r="B10" s="240">
        <v>1398196.32</v>
      </c>
      <c r="C10" s="240">
        <v>742953.55</v>
      </c>
    </row>
    <row r="11" spans="1:3" x14ac:dyDescent="0.2">
      <c r="A11" t="s">
        <v>776</v>
      </c>
      <c r="B11" s="240">
        <v>64918.02</v>
      </c>
      <c r="C11" s="240">
        <v>12480.88</v>
      </c>
    </row>
    <row r="12" spans="1:3" x14ac:dyDescent="0.2">
      <c r="A12" t="s">
        <v>777</v>
      </c>
      <c r="B12" s="240"/>
      <c r="C12" s="240"/>
    </row>
    <row r="13" spans="1:3" x14ac:dyDescent="0.2">
      <c r="A13" t="str">
        <f>IF(B9=B13,IF(C9=C13,"Check Total OK","Check Total Error"),"Check Total Error")</f>
        <v>Check Total OK</v>
      </c>
      <c r="B13" s="231">
        <f>SUM(B10:B12)</f>
        <v>1463114.34</v>
      </c>
      <c r="C13" s="231">
        <f>SUM(C10:C12)</f>
        <v>755434.43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385733.66000000003</v>
      </c>
      <c r="C18" s="229">
        <f>'DOE25'!G199+'DOE25'!G217+'DOE25'!G235+'DOE25'!G278+'DOE25'!G297+'DOE25'!G316</f>
        <v>174234.03</v>
      </c>
    </row>
    <row r="19" spans="1:3" x14ac:dyDescent="0.2">
      <c r="A19" t="s">
        <v>775</v>
      </c>
      <c r="B19" s="240">
        <v>179013.25</v>
      </c>
      <c r="C19" s="240">
        <v>56743.05</v>
      </c>
    </row>
    <row r="20" spans="1:3" x14ac:dyDescent="0.2">
      <c r="A20" t="s">
        <v>776</v>
      </c>
      <c r="B20" s="240">
        <v>206720.41</v>
      </c>
      <c r="C20" s="240">
        <v>117490.98</v>
      </c>
    </row>
    <row r="21" spans="1:3" x14ac:dyDescent="0.2">
      <c r="A21" t="s">
        <v>777</v>
      </c>
      <c r="B21" s="240"/>
      <c r="C21" s="240"/>
    </row>
    <row r="22" spans="1:3" x14ac:dyDescent="0.2">
      <c r="A22" t="str">
        <f>IF(B18=B22,IF(C18=C22,"Check Total OK","Check Total Error"),"Check Total Error")</f>
        <v>Check Total OK</v>
      </c>
      <c r="B22" s="231">
        <f>SUM(B19:B21)</f>
        <v>385733.66000000003</v>
      </c>
      <c r="C22" s="231">
        <f>SUM(C19:C21)</f>
        <v>174234.03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57338</v>
      </c>
      <c r="C27" s="234">
        <f>'DOE25'!G200+'DOE25'!G218+'DOE25'!G236+'DOE25'!G279+'DOE25'!G298+'DOE25'!G317</f>
        <v>30076.84</v>
      </c>
    </row>
    <row r="28" spans="1:3" x14ac:dyDescent="0.2">
      <c r="A28" t="s">
        <v>775</v>
      </c>
      <c r="B28" s="240">
        <v>57338</v>
      </c>
      <c r="C28" s="240">
        <v>30076.84</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57338</v>
      </c>
      <c r="C31" s="231">
        <f>SUM(C28:C30)</f>
        <v>30076.84</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74601.7</v>
      </c>
      <c r="C36" s="235">
        <f>'DOE25'!G201+'DOE25'!G219+'DOE25'!G237+'DOE25'!G280+'DOE25'!G299+'DOE25'!G318</f>
        <v>12025.470000000001</v>
      </c>
    </row>
    <row r="37" spans="1:3" x14ac:dyDescent="0.2">
      <c r="A37" t="s">
        <v>775</v>
      </c>
      <c r="B37" s="240">
        <v>56306.7</v>
      </c>
      <c r="C37" s="240">
        <v>8540.2800000000007</v>
      </c>
    </row>
    <row r="38" spans="1:3" x14ac:dyDescent="0.2">
      <c r="A38" t="s">
        <v>776</v>
      </c>
      <c r="B38" s="240">
        <v>18295</v>
      </c>
      <c r="C38" s="240">
        <v>3485.19</v>
      </c>
    </row>
    <row r="39" spans="1:3" x14ac:dyDescent="0.2">
      <c r="A39" t="s">
        <v>777</v>
      </c>
      <c r="B39" s="240"/>
      <c r="C39" s="240"/>
    </row>
    <row r="40" spans="1:3" x14ac:dyDescent="0.2">
      <c r="A40" t="str">
        <f>IF(B36=B40,IF(C36=C40,"Check Total OK","Check Total Error"),"Check Total Error")</f>
        <v>Check Total OK</v>
      </c>
      <c r="B40" s="231">
        <f>SUM(B37:B39)</f>
        <v>74601.7</v>
      </c>
      <c r="C40" s="231">
        <f>SUM(C37:C39)</f>
        <v>12025.470000000001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36" sqref="D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PROFILE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3105195.55</v>
      </c>
      <c r="D5" s="20">
        <f>SUM('DOE25'!L198:L201)+SUM('DOE25'!L216:L219)+SUM('DOE25'!L234:L237)-F5-G5-H5</f>
        <v>3018753.06</v>
      </c>
      <c r="E5" s="243"/>
      <c r="F5" s="244"/>
      <c r="G5" s="53">
        <f>SUM('DOE25'!J198:J201)+SUM('DOE25'!J216:J219)+SUM('DOE25'!J234:J237)</f>
        <v>79053.36</v>
      </c>
      <c r="H5" s="53">
        <f>SUM('DOE25'!K198:K201)+SUM('DOE25'!K216:K219)+SUM('DOE25'!K234:K237)</f>
        <v>7389.1299999999992</v>
      </c>
      <c r="I5" s="256"/>
    </row>
    <row r="6" spans="1:9" x14ac:dyDescent="0.2">
      <c r="A6" s="32">
        <v>2100</v>
      </c>
      <c r="B6" t="s">
        <v>796</v>
      </c>
      <c r="C6" s="276">
        <f t="shared" si="0"/>
        <v>328499.88</v>
      </c>
      <c r="D6" s="20">
        <f>'DOE25'!L203+'DOE25'!L221+'DOE25'!L239-F6-G6-H6</f>
        <v>328012.69</v>
      </c>
      <c r="E6" s="243"/>
      <c r="F6" s="244"/>
      <c r="G6" s="53">
        <f>'DOE25'!J203+'DOE25'!J221+'DOE25'!J239</f>
        <v>487.19</v>
      </c>
      <c r="H6" s="53">
        <f>'DOE25'!K203+'DOE25'!K221+'DOE25'!K239</f>
        <v>0</v>
      </c>
      <c r="I6" s="256"/>
    </row>
    <row r="7" spans="1:9" x14ac:dyDescent="0.2">
      <c r="A7" s="32">
        <v>2200</v>
      </c>
      <c r="B7" t="s">
        <v>821</v>
      </c>
      <c r="C7" s="276">
        <f t="shared" si="0"/>
        <v>200415.02999999997</v>
      </c>
      <c r="D7" s="20">
        <f>'DOE25'!L204+'DOE25'!L222+'DOE25'!L240-F7-G7-H7</f>
        <v>179900.39999999997</v>
      </c>
      <c r="E7" s="243"/>
      <c r="F7" s="244"/>
      <c r="G7" s="53">
        <f>'DOE25'!J204+'DOE25'!J222+'DOE25'!J240</f>
        <v>332.32</v>
      </c>
      <c r="H7" s="53">
        <f>'DOE25'!K204+'DOE25'!K222+'DOE25'!K240</f>
        <v>20182.310000000001</v>
      </c>
      <c r="I7" s="256"/>
    </row>
    <row r="8" spans="1:9" x14ac:dyDescent="0.2">
      <c r="A8" s="32">
        <v>2300</v>
      </c>
      <c r="B8" t="s">
        <v>797</v>
      </c>
      <c r="C8" s="276">
        <f t="shared" si="0"/>
        <v>165291.34000000003</v>
      </c>
      <c r="D8" s="243"/>
      <c r="E8" s="20">
        <f>'DOE25'!L205+'DOE25'!L223+'DOE25'!L241-F8-G8-H8-D9-D11</f>
        <v>158313.62000000002</v>
      </c>
      <c r="F8" s="244"/>
      <c r="G8" s="53">
        <f>'DOE25'!J205+'DOE25'!J223+'DOE25'!J241</f>
        <v>0</v>
      </c>
      <c r="H8" s="53">
        <f>'DOE25'!K205+'DOE25'!K223+'DOE25'!K241</f>
        <v>6977.7199999999993</v>
      </c>
      <c r="I8" s="256"/>
    </row>
    <row r="9" spans="1:9" ht="14.25" x14ac:dyDescent="0.2">
      <c r="A9" s="32">
        <v>2310</v>
      </c>
      <c r="B9" s="185" t="s">
        <v>890</v>
      </c>
      <c r="C9" s="276">
        <f t="shared" si="0"/>
        <v>81792.72</v>
      </c>
      <c r="D9" s="244">
        <v>81792.72</v>
      </c>
      <c r="E9" s="243"/>
      <c r="F9" s="253"/>
      <c r="G9" s="253"/>
      <c r="H9" s="253"/>
      <c r="I9" s="256"/>
    </row>
    <row r="10" spans="1:9" ht="14.25" x14ac:dyDescent="0.2">
      <c r="A10" s="32">
        <v>2317</v>
      </c>
      <c r="B10" s="185" t="s">
        <v>891</v>
      </c>
      <c r="C10" s="276">
        <f t="shared" si="0"/>
        <v>8535.1</v>
      </c>
      <c r="D10" s="243"/>
      <c r="E10" s="244">
        <v>8535.1</v>
      </c>
      <c r="F10" s="253"/>
      <c r="G10" s="253"/>
      <c r="H10" s="253"/>
      <c r="I10" s="256"/>
    </row>
    <row r="11" spans="1:9" ht="14.25" x14ac:dyDescent="0.2">
      <c r="A11" s="32">
        <v>2321</v>
      </c>
      <c r="B11" s="185" t="s">
        <v>892</v>
      </c>
      <c r="C11" s="276">
        <f t="shared" si="0"/>
        <v>76782.13</v>
      </c>
      <c r="D11" s="244">
        <v>76782.13</v>
      </c>
      <c r="E11" s="243"/>
      <c r="F11" s="253"/>
      <c r="G11" s="253"/>
      <c r="H11" s="253"/>
      <c r="I11" s="256"/>
    </row>
    <row r="12" spans="1:9" x14ac:dyDescent="0.2">
      <c r="A12" s="32">
        <v>2400</v>
      </c>
      <c r="B12" t="s">
        <v>711</v>
      </c>
      <c r="C12" s="276">
        <f t="shared" si="0"/>
        <v>404053.81</v>
      </c>
      <c r="D12" s="20">
        <f>'DOE25'!L206+'DOE25'!L224+'DOE25'!L242-F12-G12-H12</f>
        <v>398567.06</v>
      </c>
      <c r="E12" s="243"/>
      <c r="F12" s="244"/>
      <c r="G12" s="53">
        <f>'DOE25'!J206+'DOE25'!J224+'DOE25'!J242</f>
        <v>69.650000000000006</v>
      </c>
      <c r="H12" s="53">
        <f>'DOE25'!K206+'DOE25'!K224+'DOE25'!K242</f>
        <v>5417.1</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444657.66999999993</v>
      </c>
      <c r="D14" s="20">
        <f>'DOE25'!L208+'DOE25'!L226+'DOE25'!L244-F14-G14-H14</f>
        <v>440171.33999999991</v>
      </c>
      <c r="E14" s="243"/>
      <c r="F14" s="244"/>
      <c r="G14" s="53">
        <f>'DOE25'!J208+'DOE25'!J226+'DOE25'!J244</f>
        <v>4486.33</v>
      </c>
      <c r="H14" s="53">
        <f>'DOE25'!K208+'DOE25'!K226+'DOE25'!K244</f>
        <v>0</v>
      </c>
      <c r="I14" s="256"/>
    </row>
    <row r="15" spans="1:9" x14ac:dyDescent="0.2">
      <c r="A15" s="32">
        <v>2700</v>
      </c>
      <c r="B15" t="s">
        <v>799</v>
      </c>
      <c r="C15" s="276">
        <f t="shared" si="0"/>
        <v>105758.64</v>
      </c>
      <c r="D15" s="20">
        <f>'DOE25'!L209+'DOE25'!L227+'DOE25'!L245-F15-G15-H15</f>
        <v>96683.44</v>
      </c>
      <c r="E15" s="243"/>
      <c r="F15" s="244">
        <v>9075.2000000000007</v>
      </c>
      <c r="G15" s="53">
        <f>'DOE25'!J209+'DOE25'!J227+'DOE25'!J245</f>
        <v>0</v>
      </c>
      <c r="H15" s="53">
        <f>'DOE25'!K209+'DOE25'!K227+'DOE25'!K245</f>
        <v>0</v>
      </c>
      <c r="I15" s="256"/>
    </row>
    <row r="16" spans="1:9" x14ac:dyDescent="0.2">
      <c r="A16" s="32">
        <v>2800</v>
      </c>
      <c r="B16" t="s">
        <v>800</v>
      </c>
      <c r="C16" s="276">
        <f t="shared" si="0"/>
        <v>784.46</v>
      </c>
      <c r="D16" s="243"/>
      <c r="E16" s="20">
        <f>'DOE25'!L210+'DOE25'!L228+'DOE25'!L246-F16-G16-H16</f>
        <v>784.46</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817656.26</v>
      </c>
      <c r="D25" s="243"/>
      <c r="E25" s="243"/>
      <c r="F25" s="255"/>
      <c r="G25" s="253"/>
      <c r="H25" s="253"/>
      <c r="I25" s="254">
        <f>'DOE25'!L261+'DOE25'!L262+'DOE25'!L342+'DOE25'!L343</f>
        <v>817656.26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112685</v>
      </c>
      <c r="D29" s="284">
        <f>'DOE25'!L359+'DOE25'!L360+'DOE25'!L361-'DOE25'!I368-F29-G29-H29</f>
        <v>25000</v>
      </c>
      <c r="E29" s="243"/>
      <c r="F29" s="244">
        <v>87685</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272976.95</v>
      </c>
      <c r="D31" s="20">
        <f>'DOE25'!L291+'DOE25'!L310+'DOE25'!L329+'DOE25'!L334+'DOE25'!L335+'DOE25'!L336-F31-G31-H31</f>
        <v>265848.60000000003</v>
      </c>
      <c r="E31" s="243"/>
      <c r="F31" s="244"/>
      <c r="G31" s="53">
        <f>'DOE25'!J291+'DOE25'!J310+'DOE25'!J329+'DOE25'!J334+'DOE25'!J335+'DOE25'!J336</f>
        <v>0</v>
      </c>
      <c r="H31" s="53">
        <f>'DOE25'!K291+'DOE25'!K310+'DOE25'!K329+'DOE25'!K334+'DOE25'!K335+'DOE25'!K336</f>
        <v>7128.3499999999995</v>
      </c>
      <c r="I31" s="256"/>
    </row>
    <row r="32" spans="1:9" ht="12" thickBot="1" x14ac:dyDescent="0.25">
      <c r="C32" s="277"/>
      <c r="G32" s="251"/>
      <c r="H32" s="251"/>
      <c r="I32" s="258"/>
    </row>
    <row r="33" spans="1:9" ht="12" thickTop="1" x14ac:dyDescent="0.2">
      <c r="B33" t="s">
        <v>809</v>
      </c>
      <c r="D33" s="245">
        <f t="shared" ref="D33:I33" si="1">SUM(D5:D31)</f>
        <v>4911511.4400000004</v>
      </c>
      <c r="E33" s="245">
        <f t="shared" si="1"/>
        <v>167633.18000000002</v>
      </c>
      <c r="F33" s="245">
        <f t="shared" si="1"/>
        <v>96760.2</v>
      </c>
      <c r="G33" s="245">
        <f t="shared" si="1"/>
        <v>84428.85</v>
      </c>
      <c r="H33" s="245">
        <f t="shared" si="1"/>
        <v>47094.61</v>
      </c>
      <c r="I33" s="245">
        <f t="shared" si="1"/>
        <v>817656.26</v>
      </c>
    </row>
    <row r="35" spans="1:9" ht="12" thickBot="1" x14ac:dyDescent="0.25">
      <c r="B35" s="251" t="s">
        <v>831</v>
      </c>
      <c r="D35" s="252">
        <f>E33</f>
        <v>167633.18000000002</v>
      </c>
      <c r="E35" s="248"/>
    </row>
    <row r="36" spans="1:9" ht="12" thickTop="1" x14ac:dyDescent="0.2">
      <c r="B36" t="s">
        <v>810</v>
      </c>
      <c r="D36" s="20">
        <f>D33</f>
        <v>4911511.4400000004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PROFILE SCHOOL DISTRICT</v>
      </c>
      <c r="B2" s="126">
        <f>'DOE25'!B2</f>
        <v>450</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0</v>
      </c>
      <c r="G4" s="303">
        <f>'DOE25'!L212+'DOE25'!L291</f>
        <v>0</v>
      </c>
      <c r="H4" s="337">
        <f>F4-G4</f>
        <v>0</v>
      </c>
      <c r="I4" s="309" t="str">
        <f>IF(H4=0,"","Does not match DOE25 page 7 and 11 Totals!!")</f>
        <v/>
      </c>
      <c r="N4"/>
    </row>
    <row r="5" spans="1:18" x14ac:dyDescent="0.2">
      <c r="A5" s="21"/>
      <c r="B5" s="304" t="str">
        <f>IFERROR(VLOOKUP(A5,'School Tables'!$C$3:$D$365,2,FALSE),"")</f>
        <v/>
      </c>
      <c r="C5" s="297" t="str">
        <f>IFERROR(INDEX('School Tables'!$B$3:$B$365,MATCH('School Level Expenditures'!B5,'School Tables'!$D$3:$D$365,0)),"")</f>
        <v/>
      </c>
      <c r="D5" s="294"/>
      <c r="E5" s="294"/>
      <c r="F5" s="312">
        <f>D5+E5</f>
        <v>0</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1714143.11</v>
      </c>
      <c r="G24" s="303">
        <f>'DOE25'!L230+'DOE25'!L310</f>
        <v>1714143.11</v>
      </c>
      <c r="H24" s="337">
        <f>F24-G24</f>
        <v>0</v>
      </c>
      <c r="I24" s="309" t="str">
        <f>IF(H24=0,"","Does not match DOE25 page 8 and 12 Totals!!")</f>
        <v/>
      </c>
      <c r="N24"/>
    </row>
    <row r="25" spans="1:14" x14ac:dyDescent="0.2">
      <c r="A25" s="21" t="s">
        <v>1377</v>
      </c>
      <c r="B25" s="304">
        <f>IFERROR(VLOOKUP(A25,'School Tables'!$I$3:$J$80,2,FALSE),"")</f>
        <v>26990</v>
      </c>
      <c r="C25" s="297" t="str">
        <f t="array" ref="C25">IFERROR(INDEX('School Tables'!$H$3:$H$80,MATCH('School Level Expenditures'!B25,'School Tables'!$J$3:$J$80,0)),"")</f>
        <v>Profile</v>
      </c>
      <c r="D25" s="294">
        <v>1655051.51</v>
      </c>
      <c r="E25" s="294">
        <v>59091.6</v>
      </c>
      <c r="F25" s="307">
        <f>D25+E25</f>
        <v>1714143.11</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3472065.0699999994</v>
      </c>
      <c r="G36" s="303">
        <f>'DOE25'!L248+'DOE25'!L329</f>
        <v>3472065.07</v>
      </c>
      <c r="H36" s="337">
        <f>F36-G36</f>
        <v>0</v>
      </c>
      <c r="I36" s="309" t="str">
        <f>IF(H36=0,"","Does not match DOE25 page 9 and 13 Totals!!")</f>
        <v/>
      </c>
      <c r="N36"/>
    </row>
    <row r="37" spans="1:14" x14ac:dyDescent="0.2">
      <c r="A37" s="21" t="s">
        <v>1376</v>
      </c>
      <c r="B37" s="304">
        <f>IFERROR(VLOOKUP(A37,'School Tables'!$O$3:$P$118,2,FALSE),"")</f>
        <v>21395</v>
      </c>
      <c r="C37" s="297" t="str">
        <f t="array" ref="C37">IFERROR(INDEX('School Tables'!$N$3:$N$118,MATCH('School Level Expenditures'!B37,'School Tables'!$P$3:$P$118,0)),"")</f>
        <v>Profile</v>
      </c>
      <c r="D37" s="294">
        <f>3122688.82+22583.92</f>
        <v>3145272.7399999998</v>
      </c>
      <c r="E37" s="294">
        <v>214355.57</v>
      </c>
      <c r="F37" s="307">
        <f>D37+E37</f>
        <v>3359628.3099999996</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112436.76</v>
      </c>
      <c r="E38" s="294"/>
      <c r="F38" s="307">
        <f t="shared" ref="F38:F41" si="2">D38+E38</f>
        <v>112436.76</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PROFILE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508579.49</v>
      </c>
      <c r="D8" s="95">
        <f>'DOE25'!G9</f>
        <v>0</v>
      </c>
      <c r="E8" s="95">
        <f>'DOE25'!H9</f>
        <v>0</v>
      </c>
      <c r="F8" s="95">
        <f>'DOE25'!I9</f>
        <v>0</v>
      </c>
      <c r="G8" s="95">
        <f>'DOE25'!J9</f>
        <v>454343.94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-7961.71</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7720.05</v>
      </c>
      <c r="E13" s="95">
        <f>'DOE25'!H14</f>
        <v>29898.43</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6515.22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507132.99999999994</v>
      </c>
      <c r="D18" s="41">
        <f>SUM(D8:D17)</f>
        <v>7720.05</v>
      </c>
      <c r="E18" s="41">
        <f>SUM(E8:E17)</f>
        <v>29898.43</v>
      </c>
      <c r="F18" s="41">
        <f>SUM(F8:F17)</f>
        <v>0</v>
      </c>
      <c r="G18" s="41">
        <f>SUM(G8:G17)</f>
        <v>454343.94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7720.05</v>
      </c>
      <c r="E21" s="95">
        <f>'DOE25'!H22</f>
        <v>29898.43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64022.92</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1641.26</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65664.179999999993</v>
      </c>
      <c r="D31" s="41">
        <f>SUM(D21:D30)</f>
        <v>7720.05</v>
      </c>
      <c r="E31" s="41">
        <f>SUM(E21:E30)</f>
        <v>29898.43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6512.22</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454343.94</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434956.6</v>
      </c>
      <c r="D49" s="24" t="s">
        <v>288</v>
      </c>
      <c r="E49" s="24" t="s">
        <v>288</v>
      </c>
      <c r="F49" s="24" t="s">
        <v>288</v>
      </c>
      <c r="G49" s="24" t="s">
        <v>288</v>
      </c>
      <c r="H49" s="124"/>
      <c r="I49" s="124"/>
    </row>
    <row r="50" spans="1:9" ht="12.75" thickTop="1" thickBot="1" x14ac:dyDescent="0.25">
      <c r="A50" s="38" t="s">
        <v>884</v>
      </c>
      <c r="B50" s="48"/>
      <c r="C50" s="41">
        <f>SUM(C34:C49)</f>
        <v>441468.81999999995</v>
      </c>
      <c r="D50" s="41">
        <f>SUM(D34:D49)</f>
        <v>0</v>
      </c>
      <c r="E50" s="41">
        <f>SUM(E34:E49)</f>
        <v>0</v>
      </c>
      <c r="F50" s="41">
        <f>SUM(F34:F49)</f>
        <v>0</v>
      </c>
      <c r="G50" s="41">
        <f>SUM(G34:G49)</f>
        <v>454343.94</v>
      </c>
      <c r="H50" s="124"/>
      <c r="I50" s="124"/>
    </row>
    <row r="51" spans="1:9" ht="12" thickTop="1" x14ac:dyDescent="0.2">
      <c r="A51" s="38" t="s">
        <v>885</v>
      </c>
      <c r="B51" s="2"/>
      <c r="C51" s="41">
        <f>C50+C31</f>
        <v>507132.99999999994</v>
      </c>
      <c r="D51" s="41">
        <f>D50+D31</f>
        <v>7720.05</v>
      </c>
      <c r="E51" s="41">
        <f>E50+E31</f>
        <v>29898.43</v>
      </c>
      <c r="F51" s="41">
        <f>F50+F31</f>
        <v>0</v>
      </c>
      <c r="G51" s="41">
        <f>G50+G31</f>
        <v>454343.94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4268438</v>
      </c>
      <c r="D56" s="95">
        <f>'DOE25'!G60</f>
        <v>0</v>
      </c>
      <c r="E56" s="95">
        <f>'DOE25'!H60</f>
        <v>0</v>
      </c>
      <c r="F56" s="95">
        <f>'DOE25'!I60</f>
        <v>0</v>
      </c>
      <c r="G56" s="95">
        <f>'DOE25'!J60</f>
        <v>0</v>
      </c>
      <c r="H56"/>
      <c r="I56"/>
    </row>
    <row r="57" spans="1:9" x14ac:dyDescent="0.2">
      <c r="A57" s="1" t="s">
        <v>164</v>
      </c>
      <c r="B57" s="6" t="s">
        <v>165</v>
      </c>
      <c r="C57" s="95">
        <f>'DOE25'!F79</f>
        <v>34030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1445.24</v>
      </c>
      <c r="D59" s="95">
        <f>'DOE25'!G96</f>
        <v>0</v>
      </c>
      <c r="E59" s="95">
        <f>'DOE25'!H96</f>
        <v>0</v>
      </c>
      <c r="F59" s="95">
        <f>'DOE25'!I96</f>
        <v>0</v>
      </c>
      <c r="G59" s="95">
        <f>'DOE25'!J96</f>
        <v>23105.86</v>
      </c>
      <c r="H59"/>
      <c r="I59"/>
    </row>
    <row r="60" spans="1:9" x14ac:dyDescent="0.2">
      <c r="A60" s="1" t="s">
        <v>170</v>
      </c>
      <c r="B60" s="118" t="s">
        <v>171</v>
      </c>
      <c r="C60" s="24" t="s">
        <v>288</v>
      </c>
      <c r="D60" s="95">
        <f>'DOE25'!G97</f>
        <v>46315.74</v>
      </c>
      <c r="E60" s="24" t="s">
        <v>288</v>
      </c>
      <c r="F60" s="24" t="s">
        <v>288</v>
      </c>
      <c r="G60" s="24" t="s">
        <v>288</v>
      </c>
      <c r="H60"/>
      <c r="I60"/>
    </row>
    <row r="61" spans="1:9" ht="12" thickBot="1" x14ac:dyDescent="0.25">
      <c r="A61" s="1" t="s">
        <v>172</v>
      </c>
      <c r="B61" s="118" t="s">
        <v>173</v>
      </c>
      <c r="C61" s="95">
        <f>SUM('DOE25'!F98:F110)</f>
        <v>50753.2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86228.44</v>
      </c>
      <c r="D62" s="130">
        <f>SUM(D57:D61)</f>
        <v>46315.74</v>
      </c>
      <c r="E62" s="130">
        <f>SUM(E57:E61)</f>
        <v>0</v>
      </c>
      <c r="F62" s="130">
        <f>SUM(F57:F61)</f>
        <v>0</v>
      </c>
      <c r="G62" s="130">
        <f>SUM(G57:G61)</f>
        <v>23105.86</v>
      </c>
      <c r="H62"/>
      <c r="I62"/>
    </row>
    <row r="63" spans="1:9" ht="12" thickTop="1" x14ac:dyDescent="0.2">
      <c r="A63" s="29" t="s">
        <v>175</v>
      </c>
      <c r="B63" s="6"/>
      <c r="C63" s="22">
        <f>C56+C62</f>
        <v>4354666.4400000004</v>
      </c>
      <c r="D63" s="22">
        <f>D56+D62</f>
        <v>46315.74</v>
      </c>
      <c r="E63" s="22">
        <f>E56+E62</f>
        <v>0</v>
      </c>
      <c r="F63" s="22">
        <f>F56+F62</f>
        <v>0</v>
      </c>
      <c r="G63" s="22">
        <f>G56+G62</f>
        <v>23105.86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488586.89</v>
      </c>
      <c r="D66" s="24" t="s">
        <v>288</v>
      </c>
      <c r="E66" s="24" t="s">
        <v>288</v>
      </c>
      <c r="F66" s="24" t="s">
        <v>288</v>
      </c>
      <c r="G66" s="24" t="s">
        <v>288</v>
      </c>
      <c r="H66"/>
      <c r="I66"/>
    </row>
    <row r="67" spans="1:9" x14ac:dyDescent="0.2">
      <c r="A67" s="1" t="s">
        <v>770</v>
      </c>
      <c r="B67" s="6">
        <v>3112</v>
      </c>
      <c r="C67" s="95">
        <f>'DOE25'!F118</f>
        <v>768849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1257435.8900000001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366886.36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1965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1436.72</v>
      </c>
      <c r="E77" s="95">
        <f>SUM('DOE25'!H131:H135)</f>
        <v>0</v>
      </c>
      <c r="F77" s="95">
        <f>SUM('DOE25'!I131:I135)</f>
        <v>0</v>
      </c>
      <c r="G77" s="95">
        <f>SUM('DOE25'!J131:J135)</f>
        <v>0</v>
      </c>
      <c r="H77"/>
      <c r="I77"/>
    </row>
    <row r="78" spans="1:9" ht="12.75" thickTop="1" thickBot="1" x14ac:dyDescent="0.25">
      <c r="A78" s="29" t="s">
        <v>259</v>
      </c>
      <c r="B78" s="6"/>
      <c r="C78" s="130">
        <f>SUM(C72:C77)</f>
        <v>368851.36</v>
      </c>
      <c r="D78" s="130">
        <f>SUM(D72:D77)</f>
        <v>1436.72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1626287.25</v>
      </c>
      <c r="D81" s="130">
        <f>SUM(D79:D80)+D78+D70</f>
        <v>1436.72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46413.48</v>
      </c>
      <c r="E88" s="341">
        <f>SUM('DOE25'!H153:H162)</f>
        <v>272976.95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469.82</v>
      </c>
      <c r="D90" s="24" t="s">
        <v>288</v>
      </c>
      <c r="E90" s="24" t="s">
        <v>288</v>
      </c>
      <c r="F90" s="24" t="s">
        <v>288</v>
      </c>
      <c r="G90" s="24" t="s">
        <v>288</v>
      </c>
    </row>
    <row r="91" spans="1:9" ht="12.75" thickTop="1" thickBot="1" x14ac:dyDescent="0.25">
      <c r="A91" s="33" t="s">
        <v>750</v>
      </c>
      <c r="C91" s="131">
        <f>SUM(C85:C90)</f>
        <v>469.82</v>
      </c>
      <c r="D91" s="131">
        <f>SUM(D85:D90)</f>
        <v>46413.48</v>
      </c>
      <c r="E91" s="131">
        <f>SUM(E85:E90)</f>
        <v>272976.95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18519.060000000001</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18519.060000000001</v>
      </c>
      <c r="E103" s="86">
        <f>SUM(E93:E102)</f>
        <v>0</v>
      </c>
      <c r="F103" s="86">
        <f>SUM(F93:F102)</f>
        <v>0</v>
      </c>
      <c r="G103" s="86">
        <f>SUM(G93:G102)</f>
        <v>25000</v>
      </c>
    </row>
    <row r="104" spans="1:7" ht="12.75" thickTop="1" thickBot="1" x14ac:dyDescent="0.25">
      <c r="A104" s="33" t="s">
        <v>761</v>
      </c>
      <c r="C104" s="86">
        <f>C63+C81+C91+C103</f>
        <v>5981423.5100000007</v>
      </c>
      <c r="D104" s="86">
        <f>D63+D81+D91+D103</f>
        <v>112685</v>
      </c>
      <c r="E104" s="86">
        <f>E63+E81+E91+E103</f>
        <v>272976.95</v>
      </c>
      <c r="F104" s="86">
        <f>F63+F81+F91+F103</f>
        <v>0</v>
      </c>
      <c r="G104" s="86">
        <f>G63+G81+G103</f>
        <v>48105.86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2267241.36</v>
      </c>
      <c r="D109" s="24" t="s">
        <v>288</v>
      </c>
      <c r="E109" s="95">
        <f>('DOE25'!L277)+('DOE25'!L296)+('DOE25'!L315)</f>
        <v>72928.22</v>
      </c>
      <c r="F109" s="24" t="s">
        <v>288</v>
      </c>
      <c r="G109" s="24" t="s">
        <v>288</v>
      </c>
    </row>
    <row r="110" spans="1:7" x14ac:dyDescent="0.2">
      <c r="A110" t="s">
        <v>198</v>
      </c>
      <c r="B110" s="32" t="s">
        <v>199</v>
      </c>
      <c r="C110" s="95">
        <f>('DOE25'!L199)+('DOE25'!L217)+('DOE25'!L235)</f>
        <v>599240.52</v>
      </c>
      <c r="D110" s="24" t="s">
        <v>288</v>
      </c>
      <c r="E110" s="95">
        <f>('DOE25'!L278)+('DOE25'!L297)+('DOE25'!L316)</f>
        <v>74345.83</v>
      </c>
      <c r="F110" s="24" t="s">
        <v>288</v>
      </c>
      <c r="G110" s="24" t="s">
        <v>288</v>
      </c>
    </row>
    <row r="111" spans="1:7" x14ac:dyDescent="0.2">
      <c r="A111" t="s">
        <v>200</v>
      </c>
      <c r="B111" s="32" t="s">
        <v>165</v>
      </c>
      <c r="C111" s="95">
        <f>('DOE25'!L200)+('DOE25'!L218)+('DOE25'!L236)</f>
        <v>115266.83</v>
      </c>
      <c r="D111" s="24" t="s">
        <v>288</v>
      </c>
      <c r="E111" s="95">
        <f>('DOE25'!L279)+('DOE25'!L298)+('DOE25'!L317)</f>
        <v>0</v>
      </c>
      <c r="F111" s="24" t="s">
        <v>288</v>
      </c>
      <c r="G111" s="24" t="s">
        <v>288</v>
      </c>
    </row>
    <row r="112" spans="1:7" x14ac:dyDescent="0.2">
      <c r="A112" t="s">
        <v>201</v>
      </c>
      <c r="B112" s="32" t="s">
        <v>167</v>
      </c>
      <c r="C112" s="95">
        <f>('DOE25'!L201)+('DOE25'!L219)+('DOE25'!L237)</f>
        <v>123446.84</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3105195.55</v>
      </c>
      <c r="D115" s="86">
        <f>SUM(D109:D114)</f>
        <v>0</v>
      </c>
      <c r="E115" s="86">
        <f>SUM(E109:E114)</f>
        <v>147274.04999999999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328499.88</v>
      </c>
      <c r="D118" s="24" t="s">
        <v>288</v>
      </c>
      <c r="E118" s="95">
        <f>+('DOE25'!L282)+('DOE25'!L301)+('DOE25'!L320)</f>
        <v>700.05</v>
      </c>
      <c r="F118" s="24" t="s">
        <v>288</v>
      </c>
      <c r="G118" s="24" t="s">
        <v>288</v>
      </c>
    </row>
    <row r="119" spans="1:7" x14ac:dyDescent="0.2">
      <c r="A119" t="s">
        <v>208</v>
      </c>
      <c r="B119" s="32" t="s">
        <v>209</v>
      </c>
      <c r="C119" s="95">
        <f>('DOE25'!L204)+('DOE25'!L222)+('DOE25'!L240)</f>
        <v>200415.02999999997</v>
      </c>
      <c r="D119" s="24" t="s">
        <v>288</v>
      </c>
      <c r="E119" s="95">
        <f>+('DOE25'!L283)+('DOE25'!L302)+('DOE25'!L321)</f>
        <v>117874.50000000001</v>
      </c>
      <c r="F119" s="24" t="s">
        <v>288</v>
      </c>
      <c r="G119" s="24" t="s">
        <v>288</v>
      </c>
    </row>
    <row r="120" spans="1:7" x14ac:dyDescent="0.2">
      <c r="A120" t="s">
        <v>210</v>
      </c>
      <c r="B120" s="32" t="s">
        <v>211</v>
      </c>
      <c r="C120" s="95">
        <f>('DOE25'!L205)+('DOE25'!L223)+('DOE25'!L241)</f>
        <v>323866.19</v>
      </c>
      <c r="D120" s="24" t="s">
        <v>288</v>
      </c>
      <c r="E120" s="95">
        <f>+('DOE25'!L284)+('DOE25'!L303)+('DOE25'!L322)</f>
        <v>7128.3499999999995</v>
      </c>
      <c r="F120" s="24" t="s">
        <v>288</v>
      </c>
      <c r="G120" s="24" t="s">
        <v>288</v>
      </c>
    </row>
    <row r="121" spans="1:7" x14ac:dyDescent="0.2">
      <c r="A121" t="s">
        <v>212</v>
      </c>
      <c r="B121" s="32" t="s">
        <v>213</v>
      </c>
      <c r="C121" s="95">
        <f>('DOE25'!L206)+('DOE25'!L224)+('DOE25'!L242)</f>
        <v>404053.81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444657.66999999993</v>
      </c>
      <c r="D123" s="24" t="s">
        <v>288</v>
      </c>
      <c r="E123" s="95">
        <f>+('DOE25'!L287)+('DOE25'!L306)+('DOE25'!L325)</f>
        <v>0</v>
      </c>
      <c r="F123" s="24" t="s">
        <v>288</v>
      </c>
      <c r="G123" s="24" t="s">
        <v>288</v>
      </c>
    </row>
    <row r="124" spans="1:7" x14ac:dyDescent="0.2">
      <c r="A124" t="s">
        <v>218</v>
      </c>
      <c r="B124" s="32" t="s">
        <v>219</v>
      </c>
      <c r="C124" s="95">
        <f>('DOE25'!L209)+('DOE25'!L227)+('DOE25'!L245+'DOE25'!L255)</f>
        <v>105758.64</v>
      </c>
      <c r="D124" s="24" t="s">
        <v>288</v>
      </c>
      <c r="E124" s="95">
        <f>+('DOE25'!L288)+('DOE25'!L307)+('DOE25'!L326)</f>
        <v>0</v>
      </c>
      <c r="F124" s="24" t="s">
        <v>288</v>
      </c>
      <c r="G124" s="24" t="s">
        <v>288</v>
      </c>
    </row>
    <row r="125" spans="1:7" x14ac:dyDescent="0.2">
      <c r="A125" t="s">
        <v>220</v>
      </c>
      <c r="B125" s="32" t="s">
        <v>221</v>
      </c>
      <c r="C125" s="95">
        <f>('DOE25'!L210)+('DOE25'!L228)+('DOE25'!L246)</f>
        <v>784.46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112685</v>
      </c>
      <c r="E127" s="24" t="s">
        <v>288</v>
      </c>
      <c r="F127" s="24" t="s">
        <v>288</v>
      </c>
      <c r="G127" s="24" t="s">
        <v>288</v>
      </c>
    </row>
    <row r="128" spans="1:7" ht="12.75" thickTop="1" thickBot="1" x14ac:dyDescent="0.25">
      <c r="A128" s="33" t="s">
        <v>226</v>
      </c>
      <c r="C128" s="86">
        <f>SUM(C118:C127)</f>
        <v>1808035.6799999997</v>
      </c>
      <c r="D128" s="86">
        <f>SUM(D118:D127)</f>
        <v>112685</v>
      </c>
      <c r="E128" s="86">
        <f>SUM(E118:E127)</f>
        <v>125702.90000000002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645000</v>
      </c>
      <c r="D131" s="24" t="s">
        <v>288</v>
      </c>
      <c r="E131" s="129">
        <f>'DOE25'!L342</f>
        <v>0</v>
      </c>
      <c r="F131" s="24" t="s">
        <v>288</v>
      </c>
      <c r="G131" s="24" t="s">
        <v>288</v>
      </c>
    </row>
    <row r="132" spans="1:7" x14ac:dyDescent="0.2">
      <c r="A132" t="s">
        <v>230</v>
      </c>
      <c r="B132" s="32">
        <v>5120</v>
      </c>
      <c r="C132" s="95">
        <f>'DOE25'!L262</f>
        <v>172656.26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18519.060000000001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48105.86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-23105.86</v>
      </c>
      <c r="D141" s="24" t="s">
        <v>288</v>
      </c>
      <c r="E141" s="24" t="s">
        <v>288</v>
      </c>
      <c r="F141" s="24" t="s">
        <v>288</v>
      </c>
      <c r="G141" s="24" t="s">
        <v>288</v>
      </c>
    </row>
    <row r="142" spans="1:7" x14ac:dyDescent="0.2">
      <c r="A142" t="s">
        <v>241</v>
      </c>
      <c r="B142" s="32">
        <v>5310</v>
      </c>
      <c r="C142" s="129">
        <f>'DOE25'!L269</f>
        <v>11990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873165.32000000007</v>
      </c>
      <c r="D144" s="141">
        <f>SUM(D130:D143)</f>
        <v>0</v>
      </c>
      <c r="E144" s="141">
        <f>SUM(E130:E143)</f>
        <v>0</v>
      </c>
      <c r="F144" s="141">
        <f>SUM(F130:F143)</f>
        <v>0</v>
      </c>
      <c r="G144" s="141">
        <f>SUM(G130:G143)</f>
        <v>0</v>
      </c>
    </row>
    <row r="145" spans="1:9" ht="12.75" thickTop="1" thickBot="1" x14ac:dyDescent="0.25">
      <c r="A145" s="33" t="s">
        <v>244</v>
      </c>
      <c r="C145" s="86">
        <f>(C115+C128+C144)</f>
        <v>5786396.5499999998</v>
      </c>
      <c r="D145" s="86">
        <f>(D115+D128+D144)</f>
        <v>112685</v>
      </c>
      <c r="E145" s="86">
        <f>(E115+E128+E144)</f>
        <v>272976.95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01/07</v>
      </c>
      <c r="C152" s="152">
        <f>'DOE25'!G492</f>
        <v>0</v>
      </c>
      <c r="D152" s="152">
        <f>'DOE25'!H492</f>
        <v>0</v>
      </c>
      <c r="E152" s="152">
        <f>'DOE25'!I492</f>
        <v>0</v>
      </c>
      <c r="F152" s="152">
        <f>'DOE25'!J492</f>
        <v>0</v>
      </c>
      <c r="G152" s="24" t="s">
        <v>288</v>
      </c>
    </row>
    <row r="153" spans="1:9" x14ac:dyDescent="0.2">
      <c r="A153" s="136" t="s">
        <v>29</v>
      </c>
      <c r="B153" s="152" t="str">
        <f>'DOE25'!F493</f>
        <v>01/27</v>
      </c>
      <c r="C153" s="152">
        <f>'DOE25'!G493</f>
        <v>0</v>
      </c>
      <c r="D153" s="152">
        <f>'DOE25'!H493</f>
        <v>0</v>
      </c>
      <c r="E153" s="152">
        <f>'DOE25'!I493</f>
        <v>0</v>
      </c>
      <c r="F153" s="152">
        <f>'DOE25'!J493</f>
        <v>0</v>
      </c>
      <c r="G153" s="24" t="s">
        <v>288</v>
      </c>
    </row>
    <row r="154" spans="1:9" x14ac:dyDescent="0.2">
      <c r="A154" s="136" t="s">
        <v>30</v>
      </c>
      <c r="B154" s="137">
        <f>'DOE25'!F494</f>
        <v>12948800</v>
      </c>
      <c r="C154" s="137">
        <f>'DOE25'!G494</f>
        <v>0</v>
      </c>
      <c r="D154" s="137">
        <f>'DOE25'!H494</f>
        <v>0</v>
      </c>
      <c r="E154" s="137">
        <f>'DOE25'!I494</f>
        <v>0</v>
      </c>
      <c r="F154" s="137">
        <f>'DOE25'!J494</f>
        <v>0</v>
      </c>
      <c r="G154" s="24" t="s">
        <v>288</v>
      </c>
    </row>
    <row r="155" spans="1:9" x14ac:dyDescent="0.2">
      <c r="A155" s="136" t="s">
        <v>31</v>
      </c>
      <c r="B155" s="137">
        <f>'DOE25'!F495</f>
        <v>4</v>
      </c>
      <c r="C155" s="137">
        <f>'DOE25'!G495</f>
        <v>0</v>
      </c>
      <c r="D155" s="137">
        <f>'DOE25'!H495</f>
        <v>0</v>
      </c>
      <c r="E155" s="137">
        <f>'DOE25'!I495</f>
        <v>0</v>
      </c>
      <c r="F155" s="137">
        <f>'DOE25'!J495</f>
        <v>0</v>
      </c>
      <c r="G155" s="24" t="s">
        <v>288</v>
      </c>
    </row>
    <row r="156" spans="1:9" x14ac:dyDescent="0.2">
      <c r="A156" s="22" t="s">
        <v>32</v>
      </c>
      <c r="B156" s="137">
        <f>'DOE25'!F496</f>
        <v>5805000</v>
      </c>
      <c r="C156" s="137">
        <f>'DOE25'!G496</f>
        <v>0</v>
      </c>
      <c r="D156" s="137">
        <f>'DOE25'!H496</f>
        <v>0</v>
      </c>
      <c r="E156" s="137">
        <f>'DOE25'!I496</f>
        <v>0</v>
      </c>
      <c r="F156" s="137">
        <f>'DOE25'!J496</f>
        <v>0</v>
      </c>
      <c r="G156" s="138">
        <f>SUM(B156:F156)</f>
        <v>5805000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645000</v>
      </c>
      <c r="C158" s="137">
        <f>'DOE25'!G498</f>
        <v>0</v>
      </c>
      <c r="D158" s="137">
        <f>'DOE25'!H498</f>
        <v>0</v>
      </c>
      <c r="E158" s="137">
        <f>'DOE25'!I498</f>
        <v>0</v>
      </c>
      <c r="F158" s="137">
        <f>'DOE25'!J498</f>
        <v>0</v>
      </c>
      <c r="G158" s="138">
        <f t="shared" si="0"/>
        <v>645000</v>
      </c>
    </row>
    <row r="159" spans="1:9" x14ac:dyDescent="0.2">
      <c r="A159" s="22" t="s">
        <v>35</v>
      </c>
      <c r="B159" s="137">
        <f>'DOE25'!F499</f>
        <v>5160000</v>
      </c>
      <c r="C159" s="137">
        <f>'DOE25'!G499</f>
        <v>0</v>
      </c>
      <c r="D159" s="137">
        <f>'DOE25'!H499</f>
        <v>0</v>
      </c>
      <c r="E159" s="137">
        <f>'DOE25'!I499</f>
        <v>0</v>
      </c>
      <c r="F159" s="137">
        <f>'DOE25'!J499</f>
        <v>0</v>
      </c>
      <c r="G159" s="138">
        <f t="shared" si="0"/>
        <v>5160000</v>
      </c>
    </row>
    <row r="160" spans="1:9" x14ac:dyDescent="0.2">
      <c r="A160" s="22" t="s">
        <v>36</v>
      </c>
      <c r="B160" s="137">
        <f>'DOE25'!F500</f>
        <v>547644.54</v>
      </c>
      <c r="C160" s="137">
        <f>'DOE25'!G500</f>
        <v>0</v>
      </c>
      <c r="D160" s="137">
        <f>'DOE25'!H500</f>
        <v>0</v>
      </c>
      <c r="E160" s="137">
        <f>'DOE25'!I500</f>
        <v>0</v>
      </c>
      <c r="F160" s="137">
        <f>'DOE25'!J500</f>
        <v>0</v>
      </c>
      <c r="G160" s="138">
        <f t="shared" si="0"/>
        <v>547644.54</v>
      </c>
    </row>
    <row r="161" spans="1:7" x14ac:dyDescent="0.2">
      <c r="A161" s="22" t="s">
        <v>37</v>
      </c>
      <c r="B161" s="137">
        <f>'DOE25'!F501</f>
        <v>5707644.54</v>
      </c>
      <c r="C161" s="137">
        <f>'DOE25'!G501</f>
        <v>0</v>
      </c>
      <c r="D161" s="137">
        <f>'DOE25'!H501</f>
        <v>0</v>
      </c>
      <c r="E161" s="137">
        <f>'DOE25'!I501</f>
        <v>0</v>
      </c>
      <c r="F161" s="137">
        <f>'DOE25'!J501</f>
        <v>0</v>
      </c>
      <c r="G161" s="138">
        <f t="shared" si="0"/>
        <v>5707644.54</v>
      </c>
    </row>
    <row r="162" spans="1:7" x14ac:dyDescent="0.2">
      <c r="A162" s="22" t="s">
        <v>38</v>
      </c>
      <c r="B162" s="137">
        <f>'DOE25'!F502</f>
        <v>645000</v>
      </c>
      <c r="C162" s="137">
        <f>'DOE25'!G502</f>
        <v>0</v>
      </c>
      <c r="D162" s="137">
        <f>'DOE25'!H502</f>
        <v>0</v>
      </c>
      <c r="E162" s="137">
        <f>'DOE25'!I502</f>
        <v>0</v>
      </c>
      <c r="F162" s="137">
        <f>'DOE25'!J502</f>
        <v>0</v>
      </c>
      <c r="G162" s="138">
        <f t="shared" si="0"/>
        <v>645000</v>
      </c>
    </row>
    <row r="163" spans="1:7" x14ac:dyDescent="0.2">
      <c r="A163" s="22" t="s">
        <v>39</v>
      </c>
      <c r="B163" s="137">
        <f>'DOE25'!F503</f>
        <v>130732</v>
      </c>
      <c r="C163" s="137">
        <f>'DOE25'!G503</f>
        <v>0</v>
      </c>
      <c r="D163" s="137">
        <f>'DOE25'!H503</f>
        <v>0</v>
      </c>
      <c r="E163" s="137">
        <f>'DOE25'!I503</f>
        <v>0</v>
      </c>
      <c r="F163" s="137">
        <f>'DOE25'!J503</f>
        <v>0</v>
      </c>
      <c r="G163" s="138">
        <f t="shared" si="0"/>
        <v>130732</v>
      </c>
    </row>
    <row r="164" spans="1:7" x14ac:dyDescent="0.2">
      <c r="A164" s="22" t="s">
        <v>246</v>
      </c>
      <c r="B164" s="137">
        <f>'DOE25'!F504</f>
        <v>775732</v>
      </c>
      <c r="C164" s="137">
        <f>'DOE25'!G504</f>
        <v>0</v>
      </c>
      <c r="D164" s="137">
        <f>'DOE25'!H504</f>
        <v>0</v>
      </c>
      <c r="E164" s="137">
        <f>'DOE25'!I504</f>
        <v>0</v>
      </c>
      <c r="F164" s="137">
        <f>'DOE25'!J504</f>
        <v>0</v>
      </c>
      <c r="G164" s="138">
        <f t="shared" si="0"/>
        <v>775732</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PROFILE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19781</v>
      </c>
    </row>
    <row r="6" spans="1:4" x14ac:dyDescent="0.2">
      <c r="B6" t="s">
        <v>62</v>
      </c>
      <c r="C6" s="179">
        <f>IF('DOE25'!H666+'DOE25'!H671=0,0,ROUND('DOE25'!H673,0))</f>
        <v>27355</v>
      </c>
    </row>
    <row r="7" spans="1:4" x14ac:dyDescent="0.2">
      <c r="B7" t="s">
        <v>701</v>
      </c>
      <c r="C7" s="179">
        <f>IF('DOE25'!I666+'DOE25'!I671=0,0,ROUND('DOE25'!I673,0))</f>
        <v>24195</v>
      </c>
    </row>
    <row r="9" spans="1:4" x14ac:dyDescent="0.2">
      <c r="A9" s="187" t="s">
        <v>94</v>
      </c>
      <c r="B9" s="188" t="s">
        <v>1588</v>
      </c>
      <c r="C9" s="181" t="s">
        <v>720</v>
      </c>
      <c r="D9" s="181" t="s">
        <v>721</v>
      </c>
    </row>
    <row r="10" spans="1:4" x14ac:dyDescent="0.2">
      <c r="A10">
        <v>1100</v>
      </c>
      <c r="B10" t="s">
        <v>702</v>
      </c>
      <c r="C10" s="179">
        <f>ROUND('DOE25'!L198+'DOE25'!L216+'DOE25'!L234+'DOE25'!L277+'DOE25'!L296+'DOE25'!L315,0)</f>
        <v>2340170</v>
      </c>
      <c r="D10" s="182">
        <f>ROUND((C10/$C$28)*100,1)</f>
        <v>43</v>
      </c>
    </row>
    <row r="11" spans="1:4" x14ac:dyDescent="0.2">
      <c r="A11">
        <v>1200</v>
      </c>
      <c r="B11" t="s">
        <v>703</v>
      </c>
      <c r="C11" s="179">
        <f>ROUND('DOE25'!L199+'DOE25'!L217+'DOE25'!L235+'DOE25'!L278+'DOE25'!L297+'DOE25'!L316,0)</f>
        <v>673586</v>
      </c>
      <c r="D11" s="182">
        <f>ROUND((C11/$C$28)*100,1)</f>
        <v>12.4</v>
      </c>
    </row>
    <row r="12" spans="1:4" x14ac:dyDescent="0.2">
      <c r="A12">
        <v>1300</v>
      </c>
      <c r="B12" t="s">
        <v>704</v>
      </c>
      <c r="C12" s="179">
        <f>ROUND('DOE25'!L200+'DOE25'!L218+'DOE25'!L236+'DOE25'!L279+'DOE25'!L298+'DOE25'!L317,0)</f>
        <v>115267</v>
      </c>
      <c r="D12" s="182">
        <f>ROUND((C12/$C$28)*100,1)</f>
        <v>2.1</v>
      </c>
    </row>
    <row r="13" spans="1:4" x14ac:dyDescent="0.2">
      <c r="A13">
        <v>1400</v>
      </c>
      <c r="B13" t="s">
        <v>705</v>
      </c>
      <c r="C13" s="179">
        <f>ROUND('DOE25'!L201+'DOE25'!L219+'DOE25'!L237+'DOE25'!L280+'DOE25'!L299+'DOE25'!L318,0)</f>
        <v>123447</v>
      </c>
      <c r="D13" s="182">
        <f>ROUND((C13/$C$28)*100,1)</f>
        <v>2.2999999999999998</v>
      </c>
    </row>
    <row r="14" spans="1:4" x14ac:dyDescent="0.2">
      <c r="D14" s="182"/>
    </row>
    <row r="15" spans="1:4" x14ac:dyDescent="0.2">
      <c r="A15">
        <v>2100</v>
      </c>
      <c r="B15" t="s">
        <v>706</v>
      </c>
      <c r="C15" s="179">
        <f>ROUND('DOE25'!L203+'DOE25'!L221+'DOE25'!L239+'DOE25'!L282+'DOE25'!L301+'DOE25'!L320,0)</f>
        <v>329200</v>
      </c>
      <c r="D15" s="182">
        <f t="shared" ref="D15:D27" si="0">ROUND((C15/$C$28)*100,1)</f>
        <v>6.1</v>
      </c>
    </row>
    <row r="16" spans="1:4" x14ac:dyDescent="0.2">
      <c r="A16">
        <v>2200</v>
      </c>
      <c r="B16" t="s">
        <v>707</v>
      </c>
      <c r="C16" s="179">
        <f>ROUND('DOE25'!L204+'DOE25'!L222+'DOE25'!L240+'DOE25'!L283+'DOE25'!L302+'DOE25'!L321,0)</f>
        <v>318290</v>
      </c>
      <c r="D16" s="182">
        <f t="shared" si="0"/>
        <v>5.9</v>
      </c>
    </row>
    <row r="17" spans="1:4" x14ac:dyDescent="0.2">
      <c r="A17" s="183" t="s">
        <v>723</v>
      </c>
      <c r="B17" t="s">
        <v>738</v>
      </c>
      <c r="C17" s="179">
        <f>ROUND('DOE25'!L205+'DOE25'!L210+'DOE25'!L223+'DOE25'!L228+'DOE25'!L241+'DOE25'!L246+'DOE25'!L284+'DOE25'!L289+'DOE25'!L303+'DOE25'!L308+'DOE25'!L322+'DOE25'!L327,0)</f>
        <v>331779</v>
      </c>
      <c r="D17" s="182">
        <f t="shared" si="0"/>
        <v>6.1</v>
      </c>
    </row>
    <row r="18" spans="1:4" x14ac:dyDescent="0.2">
      <c r="A18">
        <v>2400</v>
      </c>
      <c r="B18" t="s">
        <v>711</v>
      </c>
      <c r="C18" s="179">
        <f>ROUND('DOE25'!L206+'DOE25'!L224+'DOE25'!L242+'DOE25'!L285+'DOE25'!L304+'DOE25'!L323,0)</f>
        <v>404054</v>
      </c>
      <c r="D18" s="182">
        <f t="shared" si="0"/>
        <v>7.4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444658</v>
      </c>
      <c r="D20" s="182">
        <f t="shared" si="0"/>
        <v>8.1999999999999993</v>
      </c>
    </row>
    <row r="21" spans="1:4" x14ac:dyDescent="0.2">
      <c r="A21">
        <v>2700</v>
      </c>
      <c r="B21" t="s">
        <v>710</v>
      </c>
      <c r="C21" s="179">
        <f>ROUND('DOE25'!L209+'DOE25'!L227+'DOE25'!L245+'DOE25'!L288+'DOE25'!L307+'DOE25'!L326,0)</f>
        <v>105759</v>
      </c>
      <c r="D21" s="182">
        <f t="shared" si="0"/>
        <v>1.9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172656</v>
      </c>
      <c r="D25" s="182">
        <f t="shared" si="0"/>
        <v>3.2</v>
      </c>
    </row>
    <row r="26" spans="1:4" x14ac:dyDescent="0.2">
      <c r="A26" s="183" t="s">
        <v>717</v>
      </c>
      <c r="B26" t="s">
        <v>718</v>
      </c>
      <c r="C26" s="179">
        <f>'DOE25'!L269+'DOE25'!L270+'DOE25'!L350+'DOE25'!L351</f>
        <v>11990</v>
      </c>
      <c r="D26" s="182">
        <f t="shared" si="0"/>
        <v>0.2</v>
      </c>
    </row>
    <row r="27" spans="1:4" x14ac:dyDescent="0.2">
      <c r="A27">
        <v>3100</v>
      </c>
      <c r="B27" t="s">
        <v>11</v>
      </c>
      <c r="C27" s="179">
        <f>ROUND('DOE25'!L363-'DOE25'!L362,0)-SUM('DOE25'!G97:G110)</f>
        <v>66369.260000000009</v>
      </c>
      <c r="D27" s="182">
        <f t="shared" si="0"/>
        <v>1.2</v>
      </c>
    </row>
    <row r="28" spans="1:4" x14ac:dyDescent="0.2">
      <c r="B28" s="187" t="s">
        <v>719</v>
      </c>
      <c r="C28" s="180">
        <f>SUM(C10:C27)</f>
        <v>5437225.2599999998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5437225.2599999998</v>
      </c>
    </row>
    <row r="31" spans="1:4" x14ac:dyDescent="0.2">
      <c r="B31" s="33"/>
      <c r="C31" s="180"/>
    </row>
    <row r="32" spans="1:4" x14ac:dyDescent="0.2">
      <c r="A32">
        <v>5100</v>
      </c>
      <c r="B32" s="33" t="s">
        <v>726</v>
      </c>
      <c r="C32" s="180">
        <f>ROUND('DOE25'!L261+'DOE25'!L342,0)</f>
        <v>645000</v>
      </c>
    </row>
    <row r="34" spans="1:4" x14ac:dyDescent="0.2">
      <c r="A34" s="187" t="s">
        <v>94</v>
      </c>
      <c r="B34" s="188" t="s">
        <v>1589</v>
      </c>
      <c r="C34" s="181" t="s">
        <v>720</v>
      </c>
      <c r="D34" s="181" t="s">
        <v>721</v>
      </c>
    </row>
    <row r="35" spans="1:4" x14ac:dyDescent="0.2">
      <c r="A35">
        <v>1100</v>
      </c>
      <c r="B35" s="185" t="s">
        <v>727</v>
      </c>
      <c r="C35" s="179">
        <f>ROUND('DOE25'!F60+'DOE25'!G60+'DOE25'!H60+'DOE25'!I60+'DOE25'!J60,0)</f>
        <v>4268438</v>
      </c>
      <c r="D35" s="182">
        <f t="shared" ref="D35:D40" si="1">ROUND((C35/$C$41)*100,1)</f>
        <v>67.5</v>
      </c>
    </row>
    <row r="36" spans="1:4" x14ac:dyDescent="0.2">
      <c r="B36" s="185" t="s">
        <v>739</v>
      </c>
      <c r="C36" s="179">
        <f>SUM('DOE25'!F112:J112)-SUM('DOE25'!G97:G110)+('DOE25'!F175+'DOE25'!F176+'DOE25'!I175+'DOE25'!I176)-C35</f>
        <v>109334.30000000075</v>
      </c>
      <c r="D36" s="182">
        <f t="shared" si="1"/>
        <v>1.7</v>
      </c>
    </row>
    <row r="37" spans="1:4" x14ac:dyDescent="0.2">
      <c r="A37" s="183" t="s">
        <v>835</v>
      </c>
      <c r="B37" s="185" t="s">
        <v>728</v>
      </c>
      <c r="C37" s="179">
        <f>ROUND('DOE25'!F117+'DOE25'!F118,0)</f>
        <v>1257436</v>
      </c>
      <c r="D37" s="182">
        <f t="shared" si="1"/>
        <v>19.899999999999999</v>
      </c>
    </row>
    <row r="38" spans="1:4" x14ac:dyDescent="0.2">
      <c r="A38" s="183" t="s">
        <v>734</v>
      </c>
      <c r="B38" s="185" t="s">
        <v>729</v>
      </c>
      <c r="C38" s="179">
        <f>ROUND(SUM('DOE25'!F140:J140)-SUM('DOE25'!F117:F119),0)</f>
        <v>370288</v>
      </c>
      <c r="D38" s="182">
        <f t="shared" si="1"/>
        <v>5.9</v>
      </c>
    </row>
    <row r="39" spans="1:4" x14ac:dyDescent="0.2">
      <c r="A39">
        <v>4000</v>
      </c>
      <c r="B39" s="185" t="s">
        <v>730</v>
      </c>
      <c r="C39" s="179">
        <f>ROUND('DOE25'!F170+'DOE25'!G170+'DOE25'!H170+'DOE25'!I170,0)</f>
        <v>319860</v>
      </c>
      <c r="D39" s="182">
        <f t="shared" si="1"/>
        <v>5.0999999999999996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6325356.3000000007</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PROFILE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2020-11-16T16:49:10Z</cp:lastPrinted>
  <dcterms:created xsi:type="dcterms:W3CDTF">1997-12-04T19:04:30Z</dcterms:created>
  <dcterms:modified xsi:type="dcterms:W3CDTF">2020-12-11T20:31:18Z</dcterms:modified>
</cp:coreProperties>
</file>