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C10" i="12" l="1"/>
  <c r="C11" i="12"/>
  <c r="C12" i="12"/>
  <c r="B10" i="12"/>
  <c r="B12" i="12"/>
  <c r="B11" i="12"/>
  <c r="C19" i="12"/>
  <c r="C20" i="12"/>
  <c r="C21" i="12"/>
  <c r="B19" i="12"/>
  <c r="B20" i="12"/>
  <c r="B21" i="12"/>
  <c r="C28" i="12"/>
  <c r="C39" i="12"/>
  <c r="C37" i="12"/>
  <c r="B37" i="12"/>
  <c r="B39" i="12"/>
  <c r="D11" i="14"/>
  <c r="E25" i="14" l="1"/>
  <c r="F277" i="1" l="1"/>
  <c r="J317" i="1"/>
  <c r="I317" i="1"/>
  <c r="K317" i="1"/>
  <c r="F198" i="1" l="1"/>
  <c r="G97" i="1" l="1"/>
  <c r="G473" i="1"/>
  <c r="G469" i="1"/>
  <c r="F110" i="1" l="1"/>
  <c r="F7" i="13"/>
  <c r="F31" i="13"/>
  <c r="F29" i="13"/>
  <c r="F5" i="13"/>
  <c r="F15" i="13"/>
  <c r="F14" i="13"/>
  <c r="F13" i="13"/>
  <c r="I503" i="1" l="1"/>
  <c r="H503" i="1"/>
  <c r="I502" i="1"/>
  <c r="H502" i="1"/>
  <c r="I500" i="1"/>
  <c r="H500" i="1"/>
  <c r="G500" i="1"/>
  <c r="I499" i="1"/>
  <c r="H499" i="1"/>
  <c r="G499" i="1"/>
  <c r="J496" i="1"/>
  <c r="I496" i="1"/>
  <c r="H496" i="1"/>
  <c r="G496"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3" i="14"/>
  <c r="C14" i="14"/>
  <c r="C15" i="14"/>
  <c r="C16" i="14"/>
  <c r="C17" i="14"/>
  <c r="C18" i="14"/>
  <c r="C19" i="14"/>
  <c r="C20" i="14"/>
  <c r="B6" i="14"/>
  <c r="C6" i="14" s="1"/>
  <c r="B7" i="14"/>
  <c r="C7" i="14" s="1"/>
  <c r="B8" i="14"/>
  <c r="C8" i="14" s="1"/>
  <c r="B9" i="14"/>
  <c r="C9" i="14" s="1"/>
  <c r="B10" i="14"/>
  <c r="C10" i="14" s="1"/>
  <c r="B11" i="14"/>
  <c r="C11" i="14" s="1"/>
  <c r="B12" i="14"/>
  <c r="C12" i="14" s="1"/>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1" i="2"/>
  <c r="E123"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G62" i="2"/>
  <c r="J572" i="1"/>
  <c r="I170" i="1"/>
  <c r="J140" i="1"/>
  <c r="H140" i="1"/>
  <c r="A40" i="12" l="1"/>
  <c r="E124" i="2"/>
  <c r="G663" i="1"/>
  <c r="E119" i="2"/>
  <c r="C13" i="10"/>
  <c r="E112" i="2"/>
  <c r="K339" i="1"/>
  <c r="K353" i="1" s="1"/>
  <c r="E110" i="2"/>
  <c r="G339" i="1"/>
  <c r="G353" i="1" s="1"/>
  <c r="J652" i="1"/>
  <c r="G553" i="1"/>
  <c r="C131" i="2"/>
  <c r="C20" i="10"/>
  <c r="E13" i="13"/>
  <c r="C13" i="13" s="1"/>
  <c r="C121" i="2"/>
  <c r="C120" i="2"/>
  <c r="D6" i="13"/>
  <c r="C6" i="13" s="1"/>
  <c r="A31" i="12"/>
  <c r="C11" i="10"/>
  <c r="C110" i="2"/>
  <c r="F258" i="1"/>
  <c r="F272" i="1" s="1"/>
  <c r="J258" i="1"/>
  <c r="J272" i="1" s="1"/>
  <c r="I370" i="1"/>
  <c r="H635" i="1" s="1"/>
  <c r="J635" i="1" s="1"/>
  <c r="G662" i="1"/>
  <c r="G477" i="1"/>
  <c r="H624" i="1" s="1"/>
  <c r="J624" i="1" s="1"/>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E128" i="2" l="1"/>
  <c r="G24" i="14"/>
  <c r="H24" i="14" s="1"/>
  <c r="I24" i="14" s="1"/>
  <c r="E115" i="2"/>
  <c r="H661" i="1"/>
  <c r="H665" i="1" s="1"/>
  <c r="H668" i="1" s="1"/>
  <c r="F661" i="1"/>
  <c r="F665" i="1" s="1"/>
  <c r="F668" i="1" s="1"/>
  <c r="L572" i="1"/>
  <c r="H649" i="1"/>
  <c r="J649" i="1" s="1"/>
  <c r="G36" i="14"/>
  <c r="H36" i="14" s="1"/>
  <c r="I36" i="14" s="1"/>
  <c r="B33" i="16"/>
  <c r="C81" i="2"/>
  <c r="F194" i="1"/>
  <c r="G628" i="1" s="1"/>
  <c r="J62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<sst xmlns="http://schemas.openxmlformats.org/spreadsheetml/2006/main" count="5558" uniqueCount="1649">
  <si>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</si>
  <si>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</si>
  <si>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</si>
  <si>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</si>
  <si>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</si>
  <si>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</si>
  <si>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</si>
  <si>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</si>
  <si>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</si>
  <si>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</si>
  <si>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</si>
  <si>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</si>
  <si>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</si>
  <si>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</si>
  <si>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</si>
  <si>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</si>
  <si>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</si>
  <si>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</si>
  <si>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</si>
  <si>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</si>
  <si>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</si>
  <si>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</si>
  <si>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</si>
  <si>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</si>
  <si>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</si>
  <si>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</si>
  <si>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</si>
  <si>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</si>
  <si>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</si>
  <si>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</si>
  <si>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</si>
  <si>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</si>
  <si>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</si>
  <si>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</si>
  <si>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</si>
  <si>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</si>
  <si>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</si>
  <si>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</si>
  <si>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</si>
  <si>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</si>
  <si>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</si>
  <si>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</si>
  <si>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</si>
  <si>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</si>
  <si>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</si>
  <si>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</si>
  <si>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</si>
  <si>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</si>
  <si>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</si>
  <si>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</si>
  <si>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</si>
  <si>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</si>
  <si>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</si>
  <si>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</si>
  <si>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</si>
  <si>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</si>
  <si>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</si>
  <si>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</si>
  <si>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</si>
  <si>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</si>
  <si>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</si>
  <si>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</si>
  <si>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</si>
  <si>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</si>
  <si>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</si>
  <si>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</si>
  <si>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</si>
  <si>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</si>
  <si>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</si>
  <si>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</si>
  <si>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</si>
  <si>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</si>
  <si>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</si>
  <si>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</si>
  <si>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</si>
  <si>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</si>
  <si>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</si>
  <si>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</si>
  <si>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</si>
  <si>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</si>
  <si>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</si>
  <si>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</si>
  <si>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</si>
  <si>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</si>
  <si>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</si>
  <si>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</si>
  <si>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</si>
  <si>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</si>
  <si>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</si>
  <si>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</si>
  <si>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</si>
  <si>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</si>
  <si>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</si>
  <si>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</si>
  <si>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</si>
  <si>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</si>
  <si>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</si>
  <si>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</si>
  <si>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</si>
  <si>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</si>
  <si>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</si>
  <si>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</si>
  <si>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</si>
  <si>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</si>
  <si>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</si>
  <si>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</si>
  <si>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</si>
  <si>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</si>
  <si>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</si>
  <si>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</si>
  <si>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</si>
  <si>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</si>
  <si>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</si>
  <si>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</si>
  <si>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</si>
  <si>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</si>
  <si>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</si>
  <si>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</si>
  <si>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</si>
  <si>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</si>
  <si>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</si>
  <si>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</si>
  <si>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</si>
  <si>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</si>
  <si>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</si>
  <si>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</si>
  <si>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</si>
  <si>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</si>
  <si>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</si>
  <si>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</si>
  <si>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</si>
  <si>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</si>
  <si>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</si>
  <si>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</si>
  <si>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</si>
  <si>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</si>
  <si>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</si>
  <si>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</si>
  <si>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</si>
  <si>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</si>
  <si>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</si>
  <si>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</si>
  <si>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</si>
  <si>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</si>
  <si>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</si>
  <si>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</si>
  <si>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</si>
  <si>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</si>
  <si>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</si>
  <si>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</si>
  <si>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</si>
  <si>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</si>
  <si>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</si>
  <si>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</si>
  <si>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</si>
  <si>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</si>
  <si>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</si>
  <si>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</si>
  <si>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</si>
  <si>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</si>
  <si>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</si>
  <si>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</si>
  <si>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</si>
  <si>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</si>
  <si>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</si>
  <si>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</si>
  <si>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</si>
  <si>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</si>
  <si>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</si>
  <si>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</si>
  <si>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</si>
  <si>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</si>
  <si>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</si>
  <si>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</si>
  <si>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</si>
  <si>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</si>
  <si>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</si>
  <si>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</si>
  <si>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</si>
  <si>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</si>
  <si>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</si>
  <si>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</si>
  <si>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</si>
  <si>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</si>
  <si>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</si>
  <si>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</si>
  <si>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</si>
  <si>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</si>
  <si>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</si>
  <si>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</si>
  <si>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</si>
  <si>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</si>
  <si>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</si>
  <si>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</si>
  <si>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</si>
  <si>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</si>
  <si>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</si>
  <si>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</si>
  <si>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</si>
  <si>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</si>
  <si>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</si>
  <si>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</si>
  <si>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</si>
  <si>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</si>
  <si>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</si>
  <si>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</si>
  <si>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</si>
  <si>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</si>
  <si>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</si>
  <si>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</si>
  <si>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</si>
  <si>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</si>
  <si>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</si>
  <si>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</si>
  <si>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</si>
  <si>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</si>
  <si>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</si>
  <si>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</si>
  <si>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</si>
  <si>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</si>
  <si>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</si>
  <si>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</si>
  <si>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</si>
  <si>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</si>
  <si>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</si>
  <si>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</si>
  <si>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</si>
  <si>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</si>
  <si>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</si>
  <si>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</si>
  <si>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</si>
  <si>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</si>
  <si>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</si>
  <si>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</si>
  <si>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</si>
  <si>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</si>
  <si>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</si>
  <si>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</si>
  <si>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</si>
  <si>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</si>
  <si>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</si>
  <si>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</si>
  <si>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</si>
  <si>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</si>
  <si>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</si>
  <si>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</si>
  <si>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</si>
  <si>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</si>
  <si>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</si>
  <si>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</si>
  <si>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</si>
  <si>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</si>
  <si>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</si>
  <si>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</si>
  <si>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</si>
  <si>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</si>
  <si>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</si>
  <si>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</si>
  <si>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</si>
  <si>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</si>
  <si>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</si>
  <si>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</si>
  <si>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</si>
  <si>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</si>
  <si>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</si>
  <si>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</si>
  <si>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</si>
  <si>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</si>
  <si>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</si>
  <si>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</si>
  <si>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</si>
  <si>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</si>
  <si>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</si>
  <si>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</si>
  <si>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</si>
  <si>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</si>
  <si>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</si>
  <si>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</si>
  <si>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</si>
  <si>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</si>
  <si>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</si>
  <si>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</si>
  <si>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</si>
  <si>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</si>
  <si>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</si>
  <si>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</si>
  <si>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</si>
  <si>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</si>
  <si>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</si>
  <si>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</si>
  <si>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</si>
  <si>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</si>
  <si>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</si>
  <si>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</si>
  <si>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</si>
  <si>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</si>
  <si>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</si>
  <si>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</si>
  <si>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</si>
  <si>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</si>
  <si>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</si>
  <si>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</si>
  <si>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</si>
  <si>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</si>
  <si>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</si>
  <si>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</si>
  <si>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</si>
  <si>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</si>
  <si>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</si>
  <si>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</si>
  <si>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</si>
  <si>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</si>
  <si>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</si>
  <si>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</si>
  <si>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</si>
  <si>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</si>
  <si>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</si>
  <si>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</si>
  <si>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</si>
  <si>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</si>
  <si>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</si>
  <si>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</si>
  <si>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</si>
  <si>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</si>
  <si>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</si>
  <si>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</si>
  <si>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</si>
  <si>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</si>
  <si>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</si>
  <si>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</si>
  <si>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</si>
  <si>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</si>
  <si>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</si>
  <si>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</si>
  <si>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</si>
  <si>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</si>
  <si>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</si>
  <si>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</si>
  <si>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</si>
  <si>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</si>
  <si>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</si>
  <si>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</si>
  <si>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</si>
  <si>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</si>
  <si>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</si>
  <si>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</si>
  <si>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</si>
  <si>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</si>
  <si>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</si>
  <si>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</si>
  <si>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</si>
  <si>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</si>
  <si>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</si>
  <si>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</si>
  <si>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</si>
  <si>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</si>
  <si>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</si>
  <si>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</si>
  <si>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</si>
  <si>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</si>
  <si>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</si>
  <si>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</si>
  <si>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</si>
  <si>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</si>
  <si>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</si>
  <si>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</si>
  <si>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</si>
  <si>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</si>
  <si>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</si>
  <si>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</si>
  <si>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</si>
  <si>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</si>
  <si>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</si>
  <si>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</si>
  <si>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</si>
  <si>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</si>
  <si>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</si>
  <si>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</si>
  <si>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</si>
  <si>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</si>
  <si>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</si>
  <si>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</si>
  <si>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</si>
  <si>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</si>
  <si>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</si>
  <si>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</si>
  <si>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</si>
  <si>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</si>
  <si>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</si>
  <si>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</si>
  <si>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</si>
  <si>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</si>
  <si>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</si>
  <si>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</si>
  <si>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</si>
  <si>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</si>
  <si>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</si>
  <si>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</si>
  <si>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</si>
  <si>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</si>
  <si>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</si>
  <si>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</si>
  <si>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</si>
  <si>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</si>
  <si>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</si>
  <si>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</si>
  <si>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</si>
  <si>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</si>
  <si>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</si>
  <si>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</si>
  <si>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</si>
  <si>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</si>
  <si>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</si>
  <si>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</si>
  <si>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</si>
  <si>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</si>
  <si>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</si>
  <si>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</si>
  <si>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</si>
  <si>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</si>
  <si>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</si>
  <si>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</si>
  <si>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</si>
  <si>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</si>
  <si>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</si>
  <si>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</si>
  <si>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</si>
  <si>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</si>
  <si>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</si>
  <si>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</si>
  <si>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</si>
  <si>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</si>
  <si>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</si>
  <si>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</si>
  <si>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</si>
  <si>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</si>
  <si>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</si>
  <si>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</si>
  <si>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</si>
  <si>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</si>
  <si>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</si>
  <si>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</si>
  <si>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</si>
  <si>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</si>
  <si>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</si>
  <si>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</si>
  <si>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</si>
  <si>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</si>
  <si>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</si>
  <si>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</si>
  <si>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</si>
  <si>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</si>
  <si>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</si>
  <si>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</si>
  <si>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</si>
  <si>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</si>
  <si>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</si>
  <si>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</si>
  <si>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</si>
  <si>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</si>
  <si>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</si>
  <si>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</si>
  <si>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</si>
  <si>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</si>
  <si>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</si>
  <si>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</si>
  <si>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</si>
  <si>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</si>
  <si>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</si>
  <si>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</si>
  <si>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</si>
  <si>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</si>
  <si>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</si>
  <si>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</si>
  <si>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</si>
  <si>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</si>
  <si>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</si>
  <si>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</si>
  <si>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</si>
  <si>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</si>
  <si>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</si>
  <si>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</si>
  <si>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</si>
  <si>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</si>
  <si>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</si>
  <si>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</si>
  <si>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</si>
  <si>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</si>
  <si>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</si>
  <si>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</si>
  <si>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</si>
  <si>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</si>
  <si>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</si>
  <si>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</si>
  <si>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</si>
  <si>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</si>
  <si>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</si>
  <si>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</si>
  <si>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</si>
  <si>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</si>
  <si>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</si>
  <si>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</si>
  <si>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</si>
  <si>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</si>
  <si>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</si>
  <si>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</si>
  <si>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</si>
  <si>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</si>
  <si>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</si>
  <si>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</si>
  <si>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</si>
  <si>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</si>
  <si>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</si>
  <si>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</si>
  <si>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</si>
  <si>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</si>
  <si>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</si>
  <si>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</si>
  <si>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</si>
  <si>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</si>
  <si>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</si>
  <si>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</si>
  <si>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</si>
  <si>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</si>
  <si>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</si>
  <si>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</si>
  <si>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</si>
  <si>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</si>
  <si>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</si>
  <si>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</si>
  <si>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</si>
  <si>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</si>
  <si>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</si>
  <si>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</si>
  <si>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</si>
  <si>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</si>
  <si>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</si>
  <si>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</si>
  <si>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</si>
  <si>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</si>
  <si>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</si>
  <si>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</si>
  <si>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</si>
  <si>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</si>
  <si>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</si>
  <si>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</si>
  <si>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</si>
  <si>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</si>
  <si>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</si>
  <si>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</si>
  <si>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</si>
  <si>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</si>
  <si>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</si>
  <si>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</si>
  <si>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</si>
  <si>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</si>
  <si>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</si>
  <si>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</si>
  <si>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</si>
  <si>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</si>
  <si>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</si>
  <si>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</si>
  <si>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</si>
  <si>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</si>
  <si>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</si>
  <si>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</si>
  <si>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</si>
  <si>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</si>
  <si>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</si>
  <si>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</si>
  <si>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</si>
  <si>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</si>
  <si>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</si>
  <si>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</si>
  <si>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</si>
  <si>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</si>
  <si>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</si>
  <si>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</si>
  <si>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</si>
  <si>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</si>
  <si>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</si>
  <si>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</si>
  <si>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</si>
  <si>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</si>
  <si>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</si>
  <si>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</si>
  <si>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</si>
  <si>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</si>
  <si>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</si>
  <si>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</si>
  <si>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</si>
  <si>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</si>
  <si>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</si>
  <si>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</si>
  <si>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</si>
  <si>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</si>
  <si>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</si>
  <si>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</si>
  <si>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</si>
  <si>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</si>
  <si>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</si>
  <si>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</si>
  <si>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</si>
  <si>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</si>
  <si>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</si>
  <si>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</si>
  <si>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</si>
  <si>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</si>
  <si>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</si>
  <si>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</si>
  <si>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</si>
  <si>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</si>
  <si>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</si>
  <si>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</si>
  <si>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</si>
  <si>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</si>
  <si>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</si>
  <si>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</si>
  <si>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</si>
  <si>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</si>
  <si>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</si>
  <si>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</si>
  <si>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</si>
  <si>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</si>
  <si>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</si>
  <si>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</si>
  <si>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</si>
  <si>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</si>
  <si>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</si>
  <si>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</si>
  <si>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</si>
  <si>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</si>
  <si>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</si>
  <si>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</si>
  <si>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</si>
  <si>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</si>
  <si>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</si>
  <si>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</si>
  <si>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</si>
  <si>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</si>
  <si>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</si>
  <si>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</si>
  <si>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</si>
  <si>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</si>
  <si>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</si>
  <si>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</si>
  <si>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</si>
  <si>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</si>
  <si>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</si>
  <si>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</si>
  <si>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</si>
  <si>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</si>
  <si>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</si>
  <si>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</si>
  <si>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</si>
  <si>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</si>
  <si>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</si>
  <si>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</si>
  <si>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</si>
  <si>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</si>
  <si>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</si>
  <si>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</si>
  <si>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</si>
  <si>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</si>
  <si>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</si>
  <si>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</si>
  <si>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</si>
  <si>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</si>
  <si>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</si>
  <si>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</si>
  <si>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</si>
  <si>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</si>
  <si>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</si>
  <si>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</si>
  <si>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</si>
  <si>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</si>
  <si>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</si>
  <si>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</si>
  <si>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</si>
  <si>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</si>
  <si>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</si>
  <si>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</si>
  <si>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</si>
  <si>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</si>
  <si>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</si>
  <si>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</si>
  <si>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</si>
  <si>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</si>
  <si>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</si>
  <si>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</si>
  <si>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</si>
  <si>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</si>
  <si>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</si>
  <si>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</si>
  <si>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</si>
  <si>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</si>
  <si>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</si>
  <si>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</si>
  <si>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</si>
  <si>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</si>
  <si>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</si>
  <si>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</si>
  <si>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</si>
  <si>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</si>
  <si>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</si>
  <si>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</si>
  <si>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</si>
  <si>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</si>
  <si>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</si>
  <si>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</si>
  <si>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</si>
  <si>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</si>
  <si>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</si>
  <si>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</si>
  <si>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</si>
  <si>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</si>
  <si>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</si>
  <si>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</si>
  <si>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</si>
  <si>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</si>
  <si>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</si>
  <si>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</si>
  <si>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</si>
  <si>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</si>
  <si>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</si>
  <si>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</si>
  <si>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</si>
  <si>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</si>
  <si>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</si>
  <si>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</si>
  <si>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</si>
  <si>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</si>
  <si>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</si>
  <si>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</si>
  <si>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</si>
  <si>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</si>
  <si>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</si>
  <si>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</si>
  <si>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</si>
  <si>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</si>
  <si>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</si>
  <si>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</si>
  <si>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</si>
  <si>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</si>
  <si>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</si>
  <si>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</si>
  <si>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</si>
  <si>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</si>
  <si>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</si>
  <si>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</si>
  <si>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</si>
  <si>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</si>
  <si>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</si>
  <si>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</si>
  <si>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</si>
  <si>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</si>
  <si>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</si>
  <si>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</si>
  <si>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</si>
  <si>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</si>
  <si>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</si>
  <si>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</si>
  <si>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</si>
  <si>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</si>
  <si>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</si>
  <si>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</si>
  <si>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</si>
  <si>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</si>
  <si>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</si>
  <si>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</si>
  <si>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</si>
  <si>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</si>
  <si>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</si>
  <si>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</si>
  <si>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</si>
  <si>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</si>
  <si>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</si>
  <si>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</si>
  <si>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</si>
  <si>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</si>
  <si>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</si>
  <si>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</si>
  <si>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</si>
  <si>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</si>
  <si>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</si>
  <si>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</si>
  <si>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</si>
  <si>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</si>
  <si>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</si>
  <si>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</si>
  <si>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</si>
  <si>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</si>
  <si>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</si>
  <si>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</si>
  <si>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</si>
  <si>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</si>
  <si>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</si>
  <si>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</si>
  <si>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</si>
  <si>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</si>
  <si>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</si>
  <si>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</si>
  <si>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</si>
  <si>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</si>
  <si>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</si>
  <si>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</si>
  <si>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</si>
  <si>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</si>
  <si>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</si>
  <si>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</si>
  <si>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</si>
  <si>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</si>
  <si>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</si>
  <si>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</si>
  <si>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</si>
  <si>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</si>
  <si>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</si>
  <si>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</si>
  <si>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</si>
  <si>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</si>
  <si>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</si>
  <si>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</si>
  <si>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</si>
  <si>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</si>
  <si>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</si>
  <si>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</si>
  <si>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</si>
  <si>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</si>
  <si>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</si>
  <si>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</si>
  <si>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</si>
  <si>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</si>
  <si>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</si>
  <si>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</si>
  <si>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</si>
  <si>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</si>
  <si>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</si>
  <si>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</si>
  <si>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</si>
  <si>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</si>
  <si>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</si>
  <si>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</si>
  <si>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</si>
  <si>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</si>
  <si>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</si>
  <si>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</si>
  <si>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</si>
  <si>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</si>
  <si>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</si>
  <si>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</si>
  <si>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</si>
  <si>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</si>
  <si>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</si>
  <si>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</si>
  <si>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</si>
  <si>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</si>
  <si>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</si>
  <si>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</si>
  <si>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</si>
  <si>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</si>
  <si>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</si>
  <si>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</si>
  <si>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</si>
  <si>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</si>
  <si>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</si>
  <si>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</si>
  <si>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</si>
  <si>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</si>
  <si>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</si>
  <si>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</si>
  <si>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</si>
  <si>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</si>
  <si>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</si>
  <si>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</si>
  <si>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</si>
  <si>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</si>
  <si>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</si>
  <si>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</si>
  <si>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</si>
  <si>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</si>
  <si>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</si>
  <si>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</si>
  <si>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</si>
  <si>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</si>
  <si>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</si>
  <si>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</si>
  <si>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</si>
  <si>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</si>
  <si>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</si>
  <si>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</si>
  <si>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</si>
  <si>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</si>
  <si>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</si>
  <si>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</si>
  <si>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</si>
  <si>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</si>
  <si>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</si>
  <si>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</si>
  <si>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</si>
  <si>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</si>
  <si>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</si>
  <si>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</si>
  <si>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</si>
  <si>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</si>
  <si>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</si>
  <si>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</si>
  <si>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</si>
  <si>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</si>
  <si>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</si>
  <si>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</si>
  <si>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</si>
  <si>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</si>
  <si>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</si>
  <si>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</si>
  <si>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</si>
  <si>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</si>
  <si>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</si>
  <si>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</si>
  <si>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</si>
  <si>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</si>
  <si>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</si>
  <si>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</si>
  <si>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</si>
  <si>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</si>
  <si>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</si>
  <si>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</si>
  <si>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</si>
  <si>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</si>
  <si>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</si>
  <si>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</si>
  <si>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</si>
  <si>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</si>
  <si>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</si>
  <si>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</si>
  <si>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</si>
  <si>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</si>
  <si>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</si>
  <si>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</si>
  <si>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</si>
  <si>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</si>
  <si>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</si>
  <si>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</si>
  <si>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</si>
  <si>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</si>
  <si>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</si>
  <si>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</si>
  <si>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</si>
  <si>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</si>
  <si>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</si>
  <si>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</si>
  <si>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</si>
  <si>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</si>
  <si>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</si>
  <si>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</si>
  <si>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</si>
  <si>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</si>
  <si>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</si>
  <si>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</si>
  <si>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</si>
  <si>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</si>
  <si>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</si>
  <si>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</si>
  <si>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</si>
  <si>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</si>
  <si>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</si>
  <si>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</si>
  <si>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</si>
  <si>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</si>
  <si>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</si>
  <si>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</si>
  <si>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</si>
  <si>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</si>
  <si>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</si>
  <si>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</si>
  <si>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</si>
  <si>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</si>
  <si>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</si>
  <si>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</si>
  <si>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</si>
  <si>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</si>
  <si>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</si>
  <si>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</si>
  <si>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</si>
  <si>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</si>
  <si>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</si>
  <si>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</si>
  <si>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</si>
  <si>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</si>
  <si>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</si>
  <si>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</si>
  <si>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</si>
  <si>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</si>
  <si>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</si>
  <si>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</si>
  <si>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</si>
  <si>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</si>
  <si>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</si>
  <si>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</si>
  <si>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</si>
  <si>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</si>
  <si>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</si>
  <si>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</si>
  <si>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</si>
  <si>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</si>
  <si>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</si>
  <si>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</si>
  <si>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</si>
  <si>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</si>
  <si>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</si>
  <si>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</si>
  <si>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</si>
  <si>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</si>
  <si>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</si>
  <si>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</si>
  <si>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</si>
  <si>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</si>
  <si>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</si>
  <si>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</si>
  <si>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</si>
  <si>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</si>
  <si>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</si>
  <si>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</si>
  <si>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</si>
  <si>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</si>
  <si>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</si>
  <si>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</si>
  <si>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</si>
  <si>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</si>
  <si>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</si>
  <si>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</si>
  <si>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</si>
  <si>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</si>
  <si>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</si>
  <si>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</si>
  <si>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</si>
  <si>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</si>
  <si>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</si>
  <si>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</si>
  <si>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</si>
  <si>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</si>
  <si>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</si>
  <si>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</si>
  <si>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</si>
  <si>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</si>
  <si>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</si>
  <si>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</si>
  <si>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</si>
  <si>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</si>
  <si>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</si>
  <si>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</si>
  <si>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</si>
  <si>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</si>
  <si>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</si>
  <si>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</si>
  <si>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</si>
  <si>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</si>
  <si>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</si>
  <si>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</si>
  <si>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</si>
  <si>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</si>
  <si>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</si>
  <si>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</si>
  <si>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</si>
  <si>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</si>
  <si>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</si>
  <si>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</si>
  <si>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</si>
  <si>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</si>
  <si>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</si>
  <si>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</si>
  <si>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</si>
  <si>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</si>
  <si>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</si>
  <si>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</si>
  <si>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</si>
  <si>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</si>
  <si>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</si>
  <si>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</si>
  <si>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</si>
  <si>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</si>
  <si>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</si>
  <si>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</si>
  <si>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</si>
  <si>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</si>
  <si>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</si>
  <si>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</si>
  <si>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</si>
  <si>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</si>
  <si>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</si>
  <si>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</si>
  <si>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</si>
  <si>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</si>
  <si>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</si>
  <si>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</si>
  <si>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</si>
  <si>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</si>
  <si>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</si>
  <si>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</si>
  <si>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</si>
  <si>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</si>
  <si>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</si>
  <si>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</si>
  <si>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</si>
  <si>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</si>
  <si>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</si>
  <si>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</si>
  <si>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</si>
  <si>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</si>
  <si>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</si>
  <si>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</si>
  <si>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</si>
  <si>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</si>
  <si>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</si>
  <si>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</si>
  <si>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</si>
  <si>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</si>
  <si>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</si>
  <si>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</si>
  <si>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</si>
  <si>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</si>
  <si>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</si>
  <si>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</si>
  <si>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</si>
  <si>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</si>
  <si>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</si>
  <si>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</si>
  <si>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</si>
  <si>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</si>
  <si>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</si>
  <si>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</si>
  <si>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</si>
  <si>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</si>
  <si>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</si>
  <si>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</si>
  <si>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</si>
  <si>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</si>
  <si>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</si>
  <si>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</si>
  <si>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</si>
  <si>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</si>
  <si>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</si>
  <si>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</si>
  <si>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</si>
  <si>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</si>
  <si>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</si>
  <si>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</si>
  <si>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</si>
  <si>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</si>
  <si>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</si>
  <si>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</si>
  <si>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</si>
  <si>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</si>
  <si>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</si>
  <si>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</si>
  <si>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</si>
  <si>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</si>
  <si>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</si>
  <si>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</si>
  <si>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</si>
  <si>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</si>
  <si>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</si>
  <si>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</si>
  <si>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</si>
  <si>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</si>
  <si>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</si>
  <si>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</si>
  <si>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</si>
  <si>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</si>
  <si>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</si>
  <si>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</si>
  <si>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</si>
  <si>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</si>
  <si>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</si>
  <si>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</si>
  <si>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</si>
  <si>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</si>
  <si>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</si>
  <si>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</si>
  <si>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</si>
  <si>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</si>
  <si>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</si>
  <si>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</si>
  <si>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</si>
  <si>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</si>
  <si>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</si>
  <si>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</si>
  <si>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</si>
  <si>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</si>
  <si>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</si>
  <si>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</si>
  <si>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</si>
  <si>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</si>
  <si>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</si>
  <si>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</si>
  <si>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</si>
  <si>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</si>
  <si>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</si>
  <si>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</si>
  <si>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</si>
  <si>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</si>
  <si>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</si>
  <si>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</si>
  <si>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</si>
  <si>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</si>
  <si>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</si>
  <si>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</si>
  <si>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</si>
  <si>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</si>
  <si>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</si>
  <si>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</si>
  <si>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</si>
  <si>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</si>
  <si>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</si>
  <si>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</si>
  <si>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</si>
  <si>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</si>
  <si>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</si>
  <si>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</si>
  <si>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</si>
  <si>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</si>
  <si>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</si>
  <si>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</si>
  <si>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</si>
  <si>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</si>
  <si>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</si>
  <si>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</si>
  <si>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</si>
  <si>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</si>
  <si>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</si>
  <si>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</si>
  <si>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</si>
  <si>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</si>
  <si>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</si>
  <si>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</si>
  <si>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</si>
  <si>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</si>
  <si>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</si>
  <si>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</si>
  <si>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</si>
  <si>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</si>
  <si>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</si>
  <si>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</si>
  <si>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</si>
  <si>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</si>
  <si>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</si>
  <si>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</si>
  <si>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</si>
  <si>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</si>
  <si>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</si>
  <si>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</si>
  <si>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</si>
  <si>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</si>
  <si>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</si>
  <si>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</si>
  <si>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</si>
  <si>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</si>
  <si>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</si>
  <si>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</si>
  <si>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</si>
  <si>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</si>
  <si>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</si>
  <si>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</si>
  <si>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</si>
  <si>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</si>
  <si>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</si>
  <si>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</si>
  <si>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</si>
  <si>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</si>
  <si>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</si>
  <si>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</si>
  <si>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</si>
  <si>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</si>
  <si>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</si>
  <si>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</si>
  <si>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</si>
  <si>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</si>
  <si>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</si>
  <si>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</si>
  <si>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</si>
  <si>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</si>
  <si>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</si>
  <si>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</si>
  <si>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</si>
  <si>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</si>
  <si>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</si>
  <si>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</si>
  <si>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</si>
  <si>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</si>
  <si>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</si>
  <si>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</si>
  <si>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</si>
  <si>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</si>
  <si>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</si>
  <si>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</si>
  <si>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</si>
  <si>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</si>
  <si>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</si>
  <si>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</si>
  <si>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</si>
  <si>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</si>
  <si>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</si>
  <si>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</si>
  <si>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</si>
  <si>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</si>
  <si>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</si>
  <si>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</si>
  <si>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</si>
  <si>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</si>
  <si>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</si>
  <si>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</si>
  <si>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</si>
  <si>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</si>
  <si>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</si>
  <si>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</si>
  <si>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</si>
  <si>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</si>
  <si>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</si>
  <si>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</si>
  <si>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</si>
  <si>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</si>
  <si>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</si>
  <si>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</si>
  <si>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</si>
  <si>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</si>
  <si>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</si>
  <si>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</si>
  <si>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</si>
  <si>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</si>
  <si>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</si>
  <si>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</si>
  <si>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</si>
  <si>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</si>
  <si>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</si>
  <si>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</si>
  <si>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</si>
  <si>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</si>
  <si>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</si>
  <si>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</si>
  <si>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</si>
  <si>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</si>
  <si>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</si>
  <si>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</si>
  <si>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</si>
  <si>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</si>
  <si>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</si>
  <si>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</si>
  <si>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</si>
  <si>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</si>
  <si>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</si>
  <si>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</si>
  <si>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</si>
  <si>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</si>
  <si>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</si>
  <si>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</si>
  <si>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</si>
  <si>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</si>
  <si>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</si>
  <si>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</si>
  <si>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</si>
  <si>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</si>
  <si>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</si>
  <si>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</si>
  <si>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</si>
  <si>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</si>
  <si>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</si>
  <si>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</si>
  <si>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</si>
  <si>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</si>
  <si>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</si>
  <si>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</si>
  <si>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</si>
  <si>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</si>
  <si>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</si>
  <si>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</si>
  <si>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</si>
  <si>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</si>
  <si>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</si>
  <si>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</si>
  <si>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</si>
  <si>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</si>
  <si>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</si>
  <si>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</si>
  <si>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</si>
  <si>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</si>
  <si>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</si>
  <si>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</si>
  <si>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</si>
  <si>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</si>
  <si>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</si>
  <si>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</si>
  <si>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</si>
  <si>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</si>
  <si>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</si>
  <si>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</si>
  <si>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</si>
  <si>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</si>
  <si>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</si>
  <si>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</si>
  <si>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</si>
  <si>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</si>
  <si>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</si>
  <si>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</si>
  <si>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</si>
  <si>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</si>
  <si>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</si>
  <si>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</si>
  <si>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</si>
  <si>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</si>
  <si>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</si>
  <si>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</si>
  <si>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</si>
  <si>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</si>
  <si>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</si>
  <si>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</si>
  <si>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</si>
  <si>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</si>
  <si>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</si>
  <si>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</si>
  <si>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</si>
  <si>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</si>
  <si>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</si>
  <si>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</si>
  <si>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</si>
  <si>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</si>
  <si>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</si>
  <si>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</si>
  <si>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</si>
  <si>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</si>
  <si>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</si>
  <si>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</si>
  <si>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</si>
  <si>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</si>
  <si>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</si>
  <si>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</si>
  <si>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</si>
  <si>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</si>
  <si>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</si>
  <si>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</si>
  <si>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</si>
  <si>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</si>
  <si>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</si>
  <si>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</si>
  <si>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</si>
  <si>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</si>
  <si>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</si>
  <si>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</si>
  <si>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</si>
  <si>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</si>
  <si>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</si>
  <si>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</si>
  <si>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</si>
  <si>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</si>
  <si>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</si>
  <si>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</si>
  <si>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</si>
  <si>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</si>
  <si>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</si>
  <si>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</si>
  <si>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</si>
  <si>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</si>
  <si>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</si>
  <si>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</si>
  <si>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</si>
  <si>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</si>
  <si>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</si>
  <si>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</si>
  <si>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</si>
  <si>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</si>
  <si>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</si>
  <si>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</si>
  <si>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</si>
  <si>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</si>
  <si>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</si>
  <si>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</si>
  <si>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</si>
  <si>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</si>
  <si>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</si>
  <si>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</si>
  <si>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</si>
  <si>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</si>
  <si>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</si>
  <si>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</si>
  <si>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</si>
  <si>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</si>
  <si>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</si>
  <si>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</si>
  <si>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</si>
  <si>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</si>
  <si>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</si>
  <si>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</si>
  <si>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</si>
  <si>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</si>
  <si>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</si>
  <si>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</si>
  <si>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</si>
  <si>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</si>
  <si>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</si>
  <si>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</si>
  <si>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</si>
  <si>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</si>
  <si>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</si>
  <si>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</si>
  <si>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</si>
  <si>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</si>
  <si>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</si>
  <si>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</si>
  <si>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</si>
  <si>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</si>
  <si>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</si>
  <si>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</si>
  <si>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</si>
  <si>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</si>
  <si>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</si>
  <si>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</si>
  <si>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</si>
  <si>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</si>
  <si>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</si>
  <si>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</si>
  <si>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</si>
  <si>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</si>
  <si>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</si>
  <si>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</si>
  <si>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</si>
  <si>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</si>
  <si>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</si>
  <si>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</si>
  <si>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</si>
  <si>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</si>
  <si>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</si>
  <si>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</si>
  <si>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</si>
  <si>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</si>
  <si>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</si>
  <si>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</si>
  <si>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</si>
  <si>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</si>
  <si>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</si>
  <si>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</si>
  <si>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</si>
  <si>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</si>
  <si>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</si>
  <si>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</si>
  <si>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</si>
  <si>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</si>
  <si>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</si>
  <si>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</si>
  <si>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</si>
  <si>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</si>
  <si>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</si>
  <si>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</si>
  <si>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</si>
  <si>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</si>
  <si>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</si>
  <si>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</si>
  <si>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</si>
  <si>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</si>
  <si>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</si>
  <si>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</si>
  <si>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</si>
  <si>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</si>
  <si>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</si>
  <si>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</si>
  <si>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</si>
  <si>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</si>
  <si>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</si>
  <si>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</si>
  <si>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</si>
  <si>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</si>
  <si>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</si>
  <si>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</si>
  <si>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</si>
  <si>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</si>
  <si>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</si>
  <si>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</si>
  <si>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</si>
  <si>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</si>
  <si>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</si>
  <si>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</si>
  <si>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</si>
  <si>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</si>
  <si>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</si>
  <si>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</si>
  <si>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</si>
  <si>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</si>
  <si>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</si>
  <si>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</si>
  <si>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</si>
  <si>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</si>
  <si>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</si>
  <si>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</si>
  <si>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</si>
  <si>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</si>
  <si>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</si>
  <si>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</si>
  <si>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</si>
  <si>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</si>
  <si>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</si>
  <si>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</si>
  <si>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</si>
  <si>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</si>
  <si>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</si>
  <si>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</si>
  <si>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</si>
  <si>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</si>
  <si>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</si>
  <si>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</si>
  <si>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</si>
  <si>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</si>
  <si>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</si>
  <si>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</si>
  <si>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</si>
  <si>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</si>
  <si>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</si>
  <si>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</si>
  <si>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</si>
  <si>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</si>
  <si>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</si>
  <si>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</si>
  <si>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</si>
  <si>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</si>
  <si>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</si>
  <si>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</si>
  <si>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</si>
  <si>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</si>
  <si>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</si>
  <si>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</si>
  <si>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</si>
  <si>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</si>
  <si>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</si>
  <si>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</si>
  <si>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</si>
  <si>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</si>
  <si>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</si>
  <si>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</si>
  <si>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</si>
  <si>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</si>
  <si>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</si>
  <si>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</si>
  <si>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</si>
  <si>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</si>
  <si>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</si>
  <si>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</si>
  <si>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3 Col. 2</t>
  </si>
  <si>
    <t>6 Col. 2</t>
  </si>
  <si>
    <t>6 Col. 1</t>
  </si>
  <si>
    <t>$21,904.99 represents the ending inventory.</t>
  </si>
  <si>
    <t>$19,988 represents the beginning inventory</t>
  </si>
  <si>
    <t>$1,972,565.66 is made up of a surplus of $2,814,699.66 in expenditures and a deficit in revenues of $ 842,134.00.</t>
  </si>
  <si>
    <t xml:space="preserve">Rochester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</si>
</sst>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name val="Arial"/>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43" fontId="68" fillId="0" borderId="0" applyFont="0" applyFill="0" applyBorder="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3" fontId="0" fillId="0" borderId="0" xfId="43"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3" builtinId="3"/>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1648</v>
      </c>
      <c r="B2" s="21">
        <v>461</v>
      </c>
      <c r="C2" s="21">
        <v>461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v>1293352.31</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82618.86</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503260.6</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75564.56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75564.56</v>
      </c>
      <c r="H19" s="41">
        <f>SUM(H9:H18)</f>
        <v>585879.46</v>
      </c>
      <c r="I19" s="41">
        <f>SUM(I9:I18)</f>
        <v>1293352.31</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502510.75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v>53659.57</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83368.710000000006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53659.57</v>
      </c>
      <c r="H32" s="41">
        <f>SUM(H22:H31)</f>
        <v>585879.46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21904.99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v>1293352.31</v>
      </c>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21904.99</v>
      </c>
      <c r="H51" s="41">
        <f>SUM(H35:H50)</f>
        <v>0</v>
      </c>
      <c r="I51" s="41">
        <f>SUM(I35:I50)</f>
        <v>1293352.31</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75564.56</v>
      </c>
      <c r="H52" s="41">
        <f>H51+H32</f>
        <v>585879.46</v>
      </c>
      <c r="I52" s="41">
        <f>I51+I32</f>
        <v>1293352.31</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32453514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32453514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20865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8695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2039995.42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814.32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9356.4500000000007</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2079726.19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476887.99+20162.26</f>
        <v>497050.25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7955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2190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138708.01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39962.79+13225.8</f>
        <v>53188.59</v>
      </c>
      <c r="G110" s="18"/>
      <c r="H110" s="18"/>
      <c r="I110" s="18">
        <v>1293352.31</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202041.60000000001</v>
      </c>
      <c r="G111" s="41">
        <f>SUM(G96:G110)</f>
        <v>497050.25</v>
      </c>
      <c r="H111" s="41">
        <f>SUM(H96:H110)</f>
        <v>0</v>
      </c>
      <c r="I111" s="41">
        <f>SUM(I96:I110)</f>
        <v>1293352.31</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34735281.789999999</v>
      </c>
      <c r="G112" s="41">
        <f>G60+G111</f>
        <v>497050.25</v>
      </c>
      <c r="H112" s="41">
        <f>H60+H79+H94+H111</f>
        <v>0</v>
      </c>
      <c r="I112" s="41">
        <f>I60+I111</f>
        <v>1293352.31</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23961538.379999999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4933384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12215.98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28907138.359999999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124120.73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904449.94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33567.03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11206.4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2975.02</v>
      </c>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23175.89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57460.87</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1076319.1199999999</v>
      </c>
      <c r="G136" s="41">
        <f>SUM(G123:G135)</f>
        <v>80636.760000000009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29983457.48</v>
      </c>
      <c r="G140" s="41">
        <f>G121+SUM(G136:G137)</f>
        <v>80636.760000000009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74047.75</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74047.75</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1341839.57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654975.38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124442.08</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32806.51</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747684.2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1059571.5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594164.99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61864.25</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594164.99</v>
      </c>
      <c r="G163" s="41">
        <f>SUM(G150:G162)</f>
        <v>747684.2</v>
      </c>
      <c r="H163" s="41">
        <f>SUM(H150:H162)</f>
        <v>3275499.29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87997.99</v>
      </c>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756210.73</v>
      </c>
      <c r="G170" s="41">
        <f>G147+G163+SUM(G164:G169)</f>
        <v>747684.2</v>
      </c>
      <c r="H170" s="41">
        <f>H147+H163+SUM(H164:H169)</f>
        <v>3275499.29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348724.31</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348724.31</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348724.31</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65474949.999999993</v>
      </c>
      <c r="G194" s="47">
        <f>G112+G140+G170+G193</f>
        <v>1674095.52</v>
      </c>
      <c r="H194" s="47">
        <f>H112+H140+H170+H193</f>
        <v>3275499.29</v>
      </c>
      <c r="I194" s="47">
        <f>I112+I140+I170+I193</f>
        <v>1293352.31</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7454932.83-0.03</f>
        <v>7454932.7999999998</v>
      </c>
      <c r="G198" s="18">
        <v>3402816.71</v>
      </c>
      <c r="H198" s="18">
        <v>103496.26</v>
      </c>
      <c r="I198" s="18">
        <v>163291.34</v>
      </c>
      <c r="J198" s="18"/>
      <c r="K198" s="18"/>
      <c r="L198" s="19">
        <f>SUM(F198:K198)</f>
        <v>11124537.109999999</v>
      </c>
      <c r="M198" s="8"/>
      <c r="N198" s="266"/>
    </row>
    <row r="199" spans="1:14" s="3" customFormat="1" ht="12.2" customHeight="1" x14ac:dyDescent="0.15">
      <c r="A199" s="1" t="s">
        <v>439</v>
      </c>
      <c r="B199" s="2" t="s">
        <v>341</v>
      </c>
      <c r="C199" s="2" t="s">
        <v>291</v>
      </c>
      <c r="D199" s="2" t="s">
        <v>431</v>
      </c>
      <c r="E199" s="6">
        <v>1200</v>
      </c>
      <c r="F199" s="18">
        <v>5056016.4800000004</v>
      </c>
      <c r="G199" s="18">
        <v>1785535.49</v>
      </c>
      <c r="H199" s="18">
        <v>2186374.0299999998</v>
      </c>
      <c r="I199" s="18">
        <v>18310.37</v>
      </c>
      <c r="J199" s="18"/>
      <c r="K199" s="18">
        <v>3900</v>
      </c>
      <c r="L199" s="19">
        <f>SUM(F199:K199)</f>
        <v>9050136.3699999992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688109.5</v>
      </c>
      <c r="G203" s="18">
        <v>298255.51</v>
      </c>
      <c r="H203" s="18">
        <v>433.68</v>
      </c>
      <c r="I203" s="18">
        <v>1136.32</v>
      </c>
      <c r="J203" s="18">
        <v>1012.85</v>
      </c>
      <c r="K203" s="18"/>
      <c r="L203" s="19">
        <f t="shared" ref="L203:L209" si="0">SUM(F203:K203)</f>
        <v>988947.86</v>
      </c>
      <c r="M203" s="8"/>
      <c r="N203" s="266"/>
    </row>
    <row r="204" spans="1:14" s="3" customFormat="1" ht="12.2" customHeight="1" x14ac:dyDescent="0.15">
      <c r="A204" s="1" t="s">
        <v>443</v>
      </c>
      <c r="B204" s="2" t="s">
        <v>341</v>
      </c>
      <c r="C204" s="2" t="s">
        <v>295</v>
      </c>
      <c r="D204" s="2" t="s">
        <v>431</v>
      </c>
      <c r="E204" s="6">
        <v>2200</v>
      </c>
      <c r="F204" s="18">
        <v>450905.05</v>
      </c>
      <c r="G204" s="18">
        <v>276273.5</v>
      </c>
      <c r="H204" s="18">
        <v>289381.93</v>
      </c>
      <c r="I204" s="18">
        <v>30982.25</v>
      </c>
      <c r="J204" s="18">
        <v>50370.67</v>
      </c>
      <c r="K204" s="18">
        <v>421.52</v>
      </c>
      <c r="L204" s="19">
        <f t="shared" si="0"/>
        <v>1098334.92</v>
      </c>
      <c r="M204" s="8"/>
      <c r="N204" s="266"/>
    </row>
    <row r="205" spans="1:14" s="3" customFormat="1" ht="12.2" customHeight="1" x14ac:dyDescent="0.15">
      <c r="A205" s="1" t="s">
        <v>444</v>
      </c>
      <c r="B205" s="2" t="s">
        <v>341</v>
      </c>
      <c r="C205" s="2" t="s">
        <v>296</v>
      </c>
      <c r="D205" s="2" t="s">
        <v>431</v>
      </c>
      <c r="E205" s="6">
        <v>2300</v>
      </c>
      <c r="F205" s="18">
        <v>519637.03</v>
      </c>
      <c r="G205" s="18">
        <v>198091.31</v>
      </c>
      <c r="H205" s="18">
        <v>177288.49</v>
      </c>
      <c r="I205" s="18">
        <v>8634.82</v>
      </c>
      <c r="J205" s="18"/>
      <c r="K205" s="18">
        <v>11377.04</v>
      </c>
      <c r="L205" s="19">
        <f t="shared" si="0"/>
        <v>915028.69000000006</v>
      </c>
      <c r="M205" s="8"/>
      <c r="N205" s="266"/>
    </row>
    <row r="206" spans="1:14" s="3" customFormat="1" ht="12.2" customHeight="1" x14ac:dyDescent="0.15">
      <c r="A206" s="1" t="s">
        <v>445</v>
      </c>
      <c r="B206" s="2" t="s">
        <v>341</v>
      </c>
      <c r="C206" s="2" t="s">
        <v>297</v>
      </c>
      <c r="D206" s="2" t="s">
        <v>431</v>
      </c>
      <c r="E206" s="6">
        <v>2400</v>
      </c>
      <c r="F206" s="18">
        <v>1428049.9</v>
      </c>
      <c r="G206" s="18">
        <v>568186.6</v>
      </c>
      <c r="H206" s="18">
        <v>268.58999999999997</v>
      </c>
      <c r="I206" s="18">
        <v>9996.09</v>
      </c>
      <c r="J206" s="18"/>
      <c r="K206" s="18">
        <v>2109</v>
      </c>
      <c r="L206" s="19">
        <f t="shared" si="0"/>
        <v>2008610.1800000002</v>
      </c>
      <c r="M206" s="8"/>
      <c r="N206" s="266"/>
    </row>
    <row r="207" spans="1:14" s="3" customFormat="1" ht="12.2" customHeight="1" x14ac:dyDescent="0.15">
      <c r="A207" s="1" t="s">
        <v>446</v>
      </c>
      <c r="B207" s="2" t="s">
        <v>341</v>
      </c>
      <c r="C207" s="2" t="s">
        <v>298</v>
      </c>
      <c r="D207" s="2" t="s">
        <v>431</v>
      </c>
      <c r="E207" s="6">
        <v>2500</v>
      </c>
      <c r="F207" s="18">
        <v>178552.19</v>
      </c>
      <c r="G207" s="18">
        <v>60214.74</v>
      </c>
      <c r="H207" s="18">
        <v>17631.88</v>
      </c>
      <c r="I207" s="18">
        <v>1082.17</v>
      </c>
      <c r="J207" s="18"/>
      <c r="K207" s="18">
        <v>495</v>
      </c>
      <c r="L207" s="19">
        <f t="shared" si="0"/>
        <v>257975.98</v>
      </c>
      <c r="M207" s="8"/>
      <c r="N207" s="266"/>
    </row>
    <row r="208" spans="1:14" s="3" customFormat="1" ht="12.2" customHeight="1" x14ac:dyDescent="0.15">
      <c r="A208" s="1" t="s">
        <v>447</v>
      </c>
      <c r="B208" s="2" t="s">
        <v>341</v>
      </c>
      <c r="C208" s="2" t="s">
        <v>299</v>
      </c>
      <c r="D208" s="2" t="s">
        <v>431</v>
      </c>
      <c r="E208" s="6">
        <v>2600</v>
      </c>
      <c r="F208" s="18">
        <v>810921</v>
      </c>
      <c r="G208" s="18">
        <v>354454.25</v>
      </c>
      <c r="H208" s="18">
        <v>522840.02</v>
      </c>
      <c r="I208" s="18">
        <v>372420.53</v>
      </c>
      <c r="J208" s="18">
        <v>23139.88</v>
      </c>
      <c r="K208" s="18">
        <v>286.64999999999998</v>
      </c>
      <c r="L208" s="19">
        <f t="shared" si="0"/>
        <v>2084062.3299999998</v>
      </c>
      <c r="M208" s="8"/>
      <c r="N208" s="266"/>
    </row>
    <row r="209" spans="1:14" s="3" customFormat="1" ht="12.2" customHeight="1" x14ac:dyDescent="0.15">
      <c r="A209" s="1" t="s">
        <v>448</v>
      </c>
      <c r="B209" s="2" t="s">
        <v>341</v>
      </c>
      <c r="C209" s="2" t="s">
        <v>300</v>
      </c>
      <c r="D209" s="2" t="s">
        <v>431</v>
      </c>
      <c r="E209" s="6">
        <v>2700</v>
      </c>
      <c r="F209" s="18"/>
      <c r="G209" s="18"/>
      <c r="H209" s="18">
        <v>753534.04</v>
      </c>
      <c r="I209" s="18"/>
      <c r="J209" s="18"/>
      <c r="K209" s="18"/>
      <c r="L209" s="19">
        <f t="shared" si="0"/>
        <v>753534.04</v>
      </c>
      <c r="M209" s="8"/>
      <c r="N209" s="266"/>
    </row>
    <row r="210" spans="1:14" s="3" customFormat="1" ht="12.2" customHeight="1" x14ac:dyDescent="0.15">
      <c r="A210" s="1" t="s">
        <v>449</v>
      </c>
      <c r="B210" s="2" t="s">
        <v>341</v>
      </c>
      <c r="C210" s="2" t="s">
        <v>343</v>
      </c>
      <c r="D210" s="2" t="s">
        <v>431</v>
      </c>
      <c r="E210" s="6">
        <v>2800</v>
      </c>
      <c r="F210" s="18"/>
      <c r="G210" s="18">
        <v>462.6</v>
      </c>
      <c r="H210" s="18"/>
      <c r="I210" s="18"/>
      <c r="J210" s="18"/>
      <c r="K210" s="18"/>
      <c r="L210" s="19">
        <f>SUM(F210:K210)</f>
        <v>462.6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16587123.950000001</v>
      </c>
      <c r="G212" s="41">
        <f t="shared" si="1"/>
        <v>6944290.709999999</v>
      </c>
      <c r="H212" s="41">
        <f t="shared" si="1"/>
        <v>4051248.9199999995</v>
      </c>
      <c r="I212" s="41">
        <f t="shared" si="1"/>
        <v>605853.89</v>
      </c>
      <c r="J212" s="41">
        <f t="shared" si="1"/>
        <v>74523.399999999994</v>
      </c>
      <c r="K212" s="41">
        <f t="shared" si="1"/>
        <v>18589.210000000003</v>
      </c>
      <c r="L212" s="41">
        <f t="shared" si="1"/>
        <v>28281630.079999998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3878117.69</v>
      </c>
      <c r="G216" s="18">
        <v>1675163.5</v>
      </c>
      <c r="H216" s="18">
        <v>42684.86</v>
      </c>
      <c r="I216" s="18">
        <v>49592.21</v>
      </c>
      <c r="J216" s="18">
        <v>8760.33</v>
      </c>
      <c r="K216" s="18">
        <v>19260</v>
      </c>
      <c r="L216" s="19">
        <f>SUM(F216:K216)</f>
        <v>5673578.5899999999</v>
      </c>
      <c r="M216" s="8"/>
      <c r="N216" s="266"/>
    </row>
    <row r="217" spans="1:14" s="3" customFormat="1" ht="12.2" customHeight="1" x14ac:dyDescent="0.15">
      <c r="A217" s="1" t="s">
        <v>439</v>
      </c>
      <c r="B217" s="2" t="s">
        <v>346</v>
      </c>
      <c r="C217" s="2" t="s">
        <v>291</v>
      </c>
      <c r="D217" s="2" t="s">
        <v>431</v>
      </c>
      <c r="E217" s="6">
        <v>1200</v>
      </c>
      <c r="F217" s="18">
        <v>1389167.92</v>
      </c>
      <c r="G217" s="18">
        <v>595090.11</v>
      </c>
      <c r="H217" s="18">
        <v>1532517.78</v>
      </c>
      <c r="I217" s="18">
        <v>7662.61</v>
      </c>
      <c r="J217" s="18"/>
      <c r="K217" s="18">
        <v>1000</v>
      </c>
      <c r="L217" s="19">
        <f>SUM(F217:K217)</f>
        <v>3525438.4199999995</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49036.57</v>
      </c>
      <c r="G219" s="18">
        <v>13751.96</v>
      </c>
      <c r="H219" s="18">
        <v>3406.49</v>
      </c>
      <c r="I219" s="18">
        <v>904.56</v>
      </c>
      <c r="J219" s="18">
        <v>7469.72</v>
      </c>
      <c r="K219" s="18">
        <v>4866.16</v>
      </c>
      <c r="L219" s="19">
        <f>SUM(F219:K219)</f>
        <v>79435.460000000006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431232.06</v>
      </c>
      <c r="G221" s="18">
        <v>192424.95</v>
      </c>
      <c r="H221" s="18">
        <v>186.21</v>
      </c>
      <c r="I221" s="18">
        <v>555.53</v>
      </c>
      <c r="J221" s="18">
        <v>495.17</v>
      </c>
      <c r="K221" s="18"/>
      <c r="L221" s="19">
        <f t="shared" ref="L221:L227" si="2">SUM(F221:K221)</f>
        <v>624893.92000000004</v>
      </c>
      <c r="M221" s="8"/>
      <c r="N221" s="266"/>
    </row>
    <row r="222" spans="1:14" s="3" customFormat="1" ht="12.2" customHeight="1" x14ac:dyDescent="0.15">
      <c r="A222" s="1" t="s">
        <v>443</v>
      </c>
      <c r="B222" s="2" t="s">
        <v>346</v>
      </c>
      <c r="C222" s="2" t="s">
        <v>295</v>
      </c>
      <c r="D222" s="2" t="s">
        <v>431</v>
      </c>
      <c r="E222" s="6">
        <v>2200</v>
      </c>
      <c r="F222" s="18">
        <v>220939.51</v>
      </c>
      <c r="G222" s="18">
        <v>165706.84</v>
      </c>
      <c r="H222" s="18">
        <v>141475.60999999999</v>
      </c>
      <c r="I222" s="18">
        <v>174472.67</v>
      </c>
      <c r="J222" s="18">
        <v>24625.66</v>
      </c>
      <c r="K222" s="18">
        <v>206.08</v>
      </c>
      <c r="L222" s="19">
        <f t="shared" si="2"/>
        <v>727426.37</v>
      </c>
      <c r="M222" s="8"/>
      <c r="N222" s="266"/>
    </row>
    <row r="223" spans="1:14" s="3" customFormat="1" ht="12.2" customHeight="1" x14ac:dyDescent="0.15">
      <c r="A223" s="1" t="s">
        <v>444</v>
      </c>
      <c r="B223" s="2" t="s">
        <v>346</v>
      </c>
      <c r="C223" s="2" t="s">
        <v>296</v>
      </c>
      <c r="D223" s="2" t="s">
        <v>431</v>
      </c>
      <c r="E223" s="6">
        <v>2300</v>
      </c>
      <c r="F223" s="18">
        <v>254044.76</v>
      </c>
      <c r="G223" s="18">
        <v>96844.65</v>
      </c>
      <c r="H223" s="18">
        <v>86674.37</v>
      </c>
      <c r="I223" s="18">
        <v>4221.47</v>
      </c>
      <c r="J223" s="18"/>
      <c r="K223" s="18">
        <v>5562.11</v>
      </c>
      <c r="L223" s="19">
        <f t="shared" si="2"/>
        <v>447347.36</v>
      </c>
      <c r="M223" s="8"/>
      <c r="N223" s="266"/>
    </row>
    <row r="224" spans="1:14" s="3" customFormat="1" ht="12.2" customHeight="1" x14ac:dyDescent="0.15">
      <c r="A224" s="1" t="s">
        <v>445</v>
      </c>
      <c r="B224" s="2" t="s">
        <v>346</v>
      </c>
      <c r="C224" s="2" t="s">
        <v>297</v>
      </c>
      <c r="D224" s="2" t="s">
        <v>431</v>
      </c>
      <c r="E224" s="6">
        <v>2400</v>
      </c>
      <c r="F224" s="18">
        <v>367114.91</v>
      </c>
      <c r="G224" s="18">
        <v>164010.37</v>
      </c>
      <c r="H224" s="18">
        <v>4016.65</v>
      </c>
      <c r="I224" s="18">
        <v>1984.33</v>
      </c>
      <c r="J224" s="18"/>
      <c r="K224" s="18">
        <v>2305</v>
      </c>
      <c r="L224" s="19">
        <f t="shared" si="2"/>
        <v>539431.26</v>
      </c>
      <c r="M224" s="8"/>
      <c r="N224" s="266"/>
    </row>
    <row r="225" spans="1:14" s="3" customFormat="1" ht="12.2" customHeight="1" x14ac:dyDescent="0.15">
      <c r="A225" s="1" t="s">
        <v>446</v>
      </c>
      <c r="B225" s="2" t="s">
        <v>346</v>
      </c>
      <c r="C225" s="2" t="s">
        <v>298</v>
      </c>
      <c r="D225" s="2" t="s">
        <v>431</v>
      </c>
      <c r="E225" s="6">
        <v>2500</v>
      </c>
      <c r="F225" s="18">
        <v>87292.18</v>
      </c>
      <c r="G225" s="18">
        <v>29438.33</v>
      </c>
      <c r="H225" s="18">
        <v>8620.0400000000009</v>
      </c>
      <c r="I225" s="18">
        <v>529.05999999999995</v>
      </c>
      <c r="J225" s="18"/>
      <c r="K225" s="18">
        <v>242</v>
      </c>
      <c r="L225" s="19">
        <f t="shared" si="2"/>
        <v>126121.60999999999</v>
      </c>
      <c r="M225" s="8"/>
      <c r="N225" s="266"/>
    </row>
    <row r="226" spans="1:14" s="3" customFormat="1" ht="12.2" customHeight="1" x14ac:dyDescent="0.15">
      <c r="A226" s="1" t="s">
        <v>447</v>
      </c>
      <c r="B226" s="2" t="s">
        <v>346</v>
      </c>
      <c r="C226" s="2" t="s">
        <v>299</v>
      </c>
      <c r="D226" s="2" t="s">
        <v>431</v>
      </c>
      <c r="E226" s="6">
        <v>2600</v>
      </c>
      <c r="F226" s="18">
        <v>312224.46000000002</v>
      </c>
      <c r="G226" s="18">
        <v>150173.99</v>
      </c>
      <c r="H226" s="18">
        <v>239399.7</v>
      </c>
      <c r="I226" s="18">
        <v>177701.59</v>
      </c>
      <c r="J226" s="18">
        <v>7669.78</v>
      </c>
      <c r="K226" s="18">
        <v>139.65</v>
      </c>
      <c r="L226" s="19">
        <f t="shared" si="2"/>
        <v>887309.17</v>
      </c>
      <c r="M226" s="8"/>
      <c r="N226" s="266"/>
    </row>
    <row r="227" spans="1:14" s="3" customFormat="1" ht="12.2" customHeight="1" x14ac:dyDescent="0.15">
      <c r="A227" s="1" t="s">
        <v>448</v>
      </c>
      <c r="B227" s="2" t="s">
        <v>346</v>
      </c>
      <c r="C227" s="2" t="s">
        <v>300</v>
      </c>
      <c r="D227" s="2" t="s">
        <v>431</v>
      </c>
      <c r="E227" s="6">
        <v>2700</v>
      </c>
      <c r="F227" s="18"/>
      <c r="G227" s="18"/>
      <c r="H227" s="18">
        <v>536851.89</v>
      </c>
      <c r="I227" s="18"/>
      <c r="J227" s="18"/>
      <c r="K227" s="18"/>
      <c r="L227" s="19">
        <f t="shared" si="2"/>
        <v>536851.89</v>
      </c>
      <c r="M227" s="8"/>
      <c r="N227" s="266"/>
    </row>
    <row r="228" spans="1:14" s="3" customFormat="1" ht="12.2" customHeight="1" x14ac:dyDescent="0.15">
      <c r="A228" s="1" t="s">
        <v>449</v>
      </c>
      <c r="B228" s="2" t="s">
        <v>346</v>
      </c>
      <c r="C228" s="2" t="s">
        <v>343</v>
      </c>
      <c r="D228" s="2" t="s">
        <v>431</v>
      </c>
      <c r="E228" s="6">
        <v>2800</v>
      </c>
      <c r="F228" s="18"/>
      <c r="G228" s="18">
        <v>226.16</v>
      </c>
      <c r="H228" s="18"/>
      <c r="I228" s="18"/>
      <c r="J228" s="18"/>
      <c r="K228" s="18"/>
      <c r="L228" s="19">
        <f>SUM(F228:K228)</f>
        <v>226.16</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6989170.0599999987</v>
      </c>
      <c r="G230" s="41">
        <f>SUM(G216:G229)</f>
        <v>3082830.8600000003</v>
      </c>
      <c r="H230" s="41">
        <f>SUM(H216:H229)</f>
        <v>2595833.6</v>
      </c>
      <c r="I230" s="41">
        <f>SUM(I216:I229)</f>
        <v>417624.03</v>
      </c>
      <c r="J230" s="41">
        <f>SUM(J216:J229)</f>
        <v>49020.659999999996</v>
      </c>
      <c r="K230" s="41">
        <f t="shared" si="3"/>
        <v>33581.000000000007</v>
      </c>
      <c r="L230" s="41">
        <f t="shared" si="3"/>
        <v>13168060.209999999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4700532.05</v>
      </c>
      <c r="G234" s="18">
        <v>1938573.32</v>
      </c>
      <c r="H234" s="18">
        <v>91174.97</v>
      </c>
      <c r="I234" s="18">
        <v>116704.73</v>
      </c>
      <c r="J234" s="18">
        <v>27939.8</v>
      </c>
      <c r="K234" s="18">
        <v>37020</v>
      </c>
      <c r="L234" s="19">
        <f>SUM(F234:K234)</f>
        <v>6911944.8700000001</v>
      </c>
      <c r="M234" s="8"/>
      <c r="N234" s="266"/>
    </row>
    <row r="235" spans="1:14" s="3" customFormat="1" ht="12.2" customHeight="1" x14ac:dyDescent="0.15">
      <c r="A235" s="1" t="s">
        <v>439</v>
      </c>
      <c r="B235" s="2" t="s">
        <v>350</v>
      </c>
      <c r="C235" s="2" t="s">
        <v>291</v>
      </c>
      <c r="D235" s="2" t="s">
        <v>431</v>
      </c>
      <c r="E235" s="6">
        <v>1200</v>
      </c>
      <c r="F235" s="18">
        <v>1028532.38</v>
      </c>
      <c r="G235" s="18">
        <v>419661.59</v>
      </c>
      <c r="H235" s="18">
        <v>2376901.98</v>
      </c>
      <c r="I235" s="18">
        <v>7451.95</v>
      </c>
      <c r="J235" s="18"/>
      <c r="K235" s="18">
        <v>1315</v>
      </c>
      <c r="L235" s="19">
        <f>SUM(F235:K235)</f>
        <v>3833862.9000000004</v>
      </c>
      <c r="M235" s="8"/>
      <c r="N235" s="266"/>
    </row>
    <row r="236" spans="1:14" s="3" customFormat="1" ht="12.2" customHeight="1" x14ac:dyDescent="0.15">
      <c r="A236" s="1" t="s">
        <v>440</v>
      </c>
      <c r="B236" s="2" t="s">
        <v>350</v>
      </c>
      <c r="C236" s="2" t="s">
        <v>292</v>
      </c>
      <c r="D236" s="2" t="s">
        <v>431</v>
      </c>
      <c r="E236" s="6">
        <v>1300</v>
      </c>
      <c r="F236" s="18">
        <v>1147776.3600000001</v>
      </c>
      <c r="G236" s="18">
        <v>425720.52</v>
      </c>
      <c r="H236" s="18">
        <v>78480.28</v>
      </c>
      <c r="I236" s="18">
        <v>15159.61</v>
      </c>
      <c r="J236" s="18">
        <v>509</v>
      </c>
      <c r="K236" s="18"/>
      <c r="L236" s="19">
        <f>SUM(F236:K236)</f>
        <v>1667645.7700000003</v>
      </c>
      <c r="M236" s="8"/>
      <c r="N236" s="266"/>
    </row>
    <row r="237" spans="1:14" s="3" customFormat="1" ht="12.2" customHeight="1" x14ac:dyDescent="0.15">
      <c r="A237" s="1" t="s">
        <v>441</v>
      </c>
      <c r="B237" s="2" t="s">
        <v>350</v>
      </c>
      <c r="C237" s="2" t="s">
        <v>293</v>
      </c>
      <c r="D237" s="2" t="s">
        <v>431</v>
      </c>
      <c r="E237" s="6">
        <v>1400</v>
      </c>
      <c r="F237" s="18">
        <v>294468.65000000002</v>
      </c>
      <c r="G237" s="18">
        <v>86051.18</v>
      </c>
      <c r="H237" s="18">
        <v>30658.38</v>
      </c>
      <c r="I237" s="18">
        <v>8141</v>
      </c>
      <c r="J237" s="18">
        <v>67227.47</v>
      </c>
      <c r="K237" s="18">
        <v>43795.41</v>
      </c>
      <c r="L237" s="19">
        <f>SUM(F237:K237)</f>
        <v>530342.09000000008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653108.01</v>
      </c>
      <c r="G239" s="18">
        <v>266133.90999999997</v>
      </c>
      <c r="H239" s="18">
        <v>1786.08</v>
      </c>
      <c r="I239" s="18">
        <v>900.56</v>
      </c>
      <c r="J239" s="18">
        <v>742.76</v>
      </c>
      <c r="K239" s="18">
        <v>350</v>
      </c>
      <c r="L239" s="19">
        <f t="shared" ref="L239:L245" si="4">SUM(F239:K239)</f>
        <v>923021.32</v>
      </c>
      <c r="M239" s="8"/>
      <c r="N239" s="266"/>
    </row>
    <row r="240" spans="1:14" s="3" customFormat="1" ht="12.2" customHeight="1" x14ac:dyDescent="0.15">
      <c r="A240" s="1" t="s">
        <v>443</v>
      </c>
      <c r="B240" s="2" t="s">
        <v>350</v>
      </c>
      <c r="C240" s="2" t="s">
        <v>295</v>
      </c>
      <c r="D240" s="2" t="s">
        <v>431</v>
      </c>
      <c r="E240" s="6">
        <v>2200</v>
      </c>
      <c r="F240" s="18">
        <v>300637.08</v>
      </c>
      <c r="G240" s="18">
        <v>179539.78</v>
      </c>
      <c r="H240" s="18">
        <v>212213.4</v>
      </c>
      <c r="I240" s="18">
        <v>25234.6</v>
      </c>
      <c r="J240" s="18">
        <v>36938.5</v>
      </c>
      <c r="K240" s="18">
        <v>309.11</v>
      </c>
      <c r="L240" s="19">
        <f t="shared" si="4"/>
        <v>754872.47</v>
      </c>
      <c r="M240" s="8"/>
      <c r="N240" s="266"/>
    </row>
    <row r="241" spans="1:14" s="3" customFormat="1" ht="12.2" customHeight="1" x14ac:dyDescent="0.15">
      <c r="A241" s="1" t="s">
        <v>444</v>
      </c>
      <c r="B241" s="2" t="s">
        <v>350</v>
      </c>
      <c r="C241" s="2" t="s">
        <v>296</v>
      </c>
      <c r="D241" s="2" t="s">
        <v>431</v>
      </c>
      <c r="E241" s="6">
        <v>2300</v>
      </c>
      <c r="F241" s="18">
        <v>511360.67</v>
      </c>
      <c r="G241" s="18">
        <v>267067.23</v>
      </c>
      <c r="H241" s="18">
        <v>130011.56</v>
      </c>
      <c r="I241" s="18">
        <v>9296.1</v>
      </c>
      <c r="J241" s="18"/>
      <c r="K241" s="18">
        <v>8343.16</v>
      </c>
      <c r="L241" s="19">
        <f t="shared" si="4"/>
        <v>926078.72</v>
      </c>
      <c r="M241" s="8"/>
      <c r="N241" s="266"/>
    </row>
    <row r="242" spans="1:14" s="3" customFormat="1" ht="12.2" customHeight="1" x14ac:dyDescent="0.15">
      <c r="A242" s="1" t="s">
        <v>445</v>
      </c>
      <c r="B242" s="2" t="s">
        <v>350</v>
      </c>
      <c r="C242" s="2" t="s">
        <v>297</v>
      </c>
      <c r="D242" s="2" t="s">
        <v>431</v>
      </c>
      <c r="E242" s="6">
        <v>2400</v>
      </c>
      <c r="F242" s="18">
        <v>694802.94</v>
      </c>
      <c r="G242" s="18">
        <v>260814.36</v>
      </c>
      <c r="H242" s="18">
        <v>19929.71</v>
      </c>
      <c r="I242" s="18">
        <v>8915.34</v>
      </c>
      <c r="J242" s="18"/>
      <c r="K242" s="18">
        <v>1709</v>
      </c>
      <c r="L242" s="19">
        <f t="shared" si="4"/>
        <v>986171.34999999986</v>
      </c>
      <c r="M242" s="8"/>
      <c r="N242" s="266"/>
    </row>
    <row r="243" spans="1:14" s="3" customFormat="1" ht="12.2" customHeight="1" x14ac:dyDescent="0.15">
      <c r="A243" s="1" t="s">
        <v>446</v>
      </c>
      <c r="B243" s="2" t="s">
        <v>350</v>
      </c>
      <c r="C243" s="2" t="s">
        <v>298</v>
      </c>
      <c r="D243" s="2" t="s">
        <v>431</v>
      </c>
      <c r="E243" s="6">
        <v>2500</v>
      </c>
      <c r="F243" s="18">
        <v>130938.27</v>
      </c>
      <c r="G243" s="18">
        <v>44157.49</v>
      </c>
      <c r="H243" s="18">
        <v>12930.05</v>
      </c>
      <c r="I243" s="18">
        <v>793.59</v>
      </c>
      <c r="J243" s="18"/>
      <c r="K243" s="18">
        <v>363</v>
      </c>
      <c r="L243" s="19">
        <f t="shared" si="4"/>
        <v>189182.4</v>
      </c>
      <c r="M243" s="8"/>
      <c r="N243" s="266"/>
    </row>
    <row r="244" spans="1:14" s="3" customFormat="1" ht="12.2" customHeight="1" x14ac:dyDescent="0.15">
      <c r="A244" s="1" t="s">
        <v>447</v>
      </c>
      <c r="B244" s="2" t="s">
        <v>350</v>
      </c>
      <c r="C244" s="2" t="s">
        <v>299</v>
      </c>
      <c r="D244" s="2" t="s">
        <v>431</v>
      </c>
      <c r="E244" s="6">
        <v>2600</v>
      </c>
      <c r="F244" s="18">
        <v>622812.32999999996</v>
      </c>
      <c r="G244" s="18">
        <v>238997.85</v>
      </c>
      <c r="H244" s="18">
        <v>534240.62</v>
      </c>
      <c r="I244" s="18">
        <v>388781.25</v>
      </c>
      <c r="J244" s="18">
        <v>15270.22</v>
      </c>
      <c r="K244" s="18">
        <v>308.7</v>
      </c>
      <c r="L244" s="19">
        <f t="shared" si="4"/>
        <v>1800410.9699999997</v>
      </c>
      <c r="M244" s="8"/>
      <c r="N244" s="266"/>
    </row>
    <row r="245" spans="1:14" s="3" customFormat="1" ht="12.2" customHeight="1" x14ac:dyDescent="0.15">
      <c r="A245" s="1" t="s">
        <v>448</v>
      </c>
      <c r="B245" s="2" t="s">
        <v>350</v>
      </c>
      <c r="C245" s="2" t="s">
        <v>300</v>
      </c>
      <c r="D245" s="2" t="s">
        <v>431</v>
      </c>
      <c r="E245" s="6">
        <v>2700</v>
      </c>
      <c r="F245" s="18"/>
      <c r="G245" s="18"/>
      <c r="H245" s="18">
        <v>816138.31</v>
      </c>
      <c r="I245" s="18"/>
      <c r="J245" s="18"/>
      <c r="K245" s="18"/>
      <c r="L245" s="19">
        <f t="shared" si="4"/>
        <v>816138.31</v>
      </c>
      <c r="M245" s="8"/>
      <c r="N245" s="266"/>
    </row>
    <row r="246" spans="1:14" s="3" customFormat="1" ht="12.2" customHeight="1" x14ac:dyDescent="0.15">
      <c r="A246" s="1" t="s">
        <v>449</v>
      </c>
      <c r="B246" s="2" t="s">
        <v>350</v>
      </c>
      <c r="C246" s="2" t="s">
        <v>343</v>
      </c>
      <c r="D246" s="2" t="s">
        <v>431</v>
      </c>
      <c r="E246" s="6">
        <v>2800</v>
      </c>
      <c r="F246" s="18"/>
      <c r="G246" s="18">
        <v>339.24</v>
      </c>
      <c r="H246" s="18"/>
      <c r="I246" s="18"/>
      <c r="J246" s="18"/>
      <c r="K246" s="18"/>
      <c r="L246" s="19">
        <f>SUM(F246:K246)</f>
        <v>339.24</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10084968.74</v>
      </c>
      <c r="G248" s="41">
        <f t="shared" si="5"/>
        <v>4127056.4700000007</v>
      </c>
      <c r="H248" s="41">
        <f t="shared" si="5"/>
        <v>4304465.34</v>
      </c>
      <c r="I248" s="41">
        <f t="shared" si="5"/>
        <v>581378.73</v>
      </c>
      <c r="J248" s="41">
        <f t="shared" si="5"/>
        <v>148627.75</v>
      </c>
      <c r="K248" s="41">
        <f t="shared" si="5"/>
        <v>93513.38</v>
      </c>
      <c r="L248" s="41">
        <f t="shared" si="5"/>
        <v>19340010.409999996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v>127.35</v>
      </c>
      <c r="I252" s="18"/>
      <c r="J252" s="18"/>
      <c r="K252" s="18"/>
      <c r="L252" s="19">
        <f t="shared" si="6"/>
        <v>127.35</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127.35</v>
      </c>
      <c r="I257" s="41">
        <f t="shared" si="7"/>
        <v>0</v>
      </c>
      <c r="J257" s="41">
        <f t="shared" si="7"/>
        <v>0</v>
      </c>
      <c r="K257" s="41">
        <f t="shared" si="7"/>
        <v>0</v>
      </c>
      <c r="L257" s="41">
        <f>SUM(F257:K257)</f>
        <v>127.35</v>
      </c>
      <c r="M257" s="8"/>
      <c r="N257" s="266"/>
    </row>
    <row r="258" spans="1:14" s="3" customFormat="1" ht="12.2" customHeight="1" thickTop="1" x14ac:dyDescent="0.15">
      <c r="A258" s="38" t="s">
        <v>462</v>
      </c>
      <c r="B258" s="40">
        <v>10</v>
      </c>
      <c r="C258" s="40">
        <v>8</v>
      </c>
      <c r="D258" s="39" t="s">
        <v>431</v>
      </c>
      <c r="E258" s="40"/>
      <c r="F258" s="41">
        <f t="shared" ref="F258:L258" si="8">F212+F230+F248+F257</f>
        <v>33661262.75</v>
      </c>
      <c r="G258" s="41">
        <f t="shared" si="8"/>
        <v>14154178.040000001</v>
      </c>
      <c r="H258" s="41">
        <f t="shared" si="8"/>
        <v>10951675.209999999</v>
      </c>
      <c r="I258" s="41">
        <f t="shared" si="8"/>
        <v>1604856.65</v>
      </c>
      <c r="J258" s="41">
        <f t="shared" si="8"/>
        <v>272171.81</v>
      </c>
      <c r="K258" s="41">
        <f t="shared" si="8"/>
        <v>145683.59000000003</v>
      </c>
      <c r="L258" s="41">
        <f t="shared" si="8"/>
        <v>60789828.049999997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1702525.83</v>
      </c>
      <c r="L261" s="19">
        <f>SUM(F261:K261)</f>
        <v>1702525.83</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661306.15</v>
      </c>
      <c r="L262" s="19">
        <f>SUM(F262:K262)</f>
        <v>661306.15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348724.31</v>
      </c>
      <c r="L264" s="19">
        <f>SUM(F264:K264)</f>
        <v>348724.31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2712556.29</v>
      </c>
      <c r="L271" s="41">
        <f t="shared" si="9"/>
        <v>2712556.29</v>
      </c>
      <c r="M271" s="8"/>
      <c r="N271" s="266"/>
    </row>
    <row r="272" spans="1:14" s="34" customFormat="1" ht="12.2" customHeight="1" thickTop="1" x14ac:dyDescent="0.2">
      <c r="A272" s="43" t="s">
        <v>464</v>
      </c>
      <c r="B272" s="40">
        <v>10</v>
      </c>
      <c r="C272" s="40">
        <v>18</v>
      </c>
      <c r="D272" s="39" t="s">
        <v>431</v>
      </c>
      <c r="E272" s="40"/>
      <c r="F272" s="42">
        <f t="shared" ref="F272:L272" si="11">F258+F271</f>
        <v>33661262.75</v>
      </c>
      <c r="G272" s="42">
        <f t="shared" si="11"/>
        <v>14154178.040000001</v>
      </c>
      <c r="H272" s="42">
        <f t="shared" si="11"/>
        <v>10951675.209999999</v>
      </c>
      <c r="I272" s="42">
        <f t="shared" si="11"/>
        <v>1604856.65</v>
      </c>
      <c r="J272" s="42">
        <f t="shared" si="11"/>
        <v>272171.81</v>
      </c>
      <c r="K272" s="42">
        <f t="shared" si="11"/>
        <v>2858239.88</v>
      </c>
      <c r="L272" s="42">
        <f t="shared" si="11"/>
        <v>63502384.339999996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225665.59-0.11</f>
        <v>225665.48</v>
      </c>
      <c r="G277" s="18">
        <v>78026.36</v>
      </c>
      <c r="H277" s="18">
        <v>1387.35</v>
      </c>
      <c r="I277" s="18">
        <v>146223.18</v>
      </c>
      <c r="J277" s="18">
        <v>7945.55</v>
      </c>
      <c r="K277" s="18"/>
      <c r="L277" s="19">
        <f>SUM(F277:K277)</f>
        <v>459247.92</v>
      </c>
      <c r="M277" s="8"/>
      <c r="N277" s="266"/>
    </row>
    <row r="278" spans="1:14" s="3" customFormat="1" ht="12.2" customHeight="1" x14ac:dyDescent="0.15">
      <c r="A278" s="1" t="s">
        <v>439</v>
      </c>
      <c r="B278" s="2" t="s">
        <v>357</v>
      </c>
      <c r="C278" s="2" t="s">
        <v>291</v>
      </c>
      <c r="D278" s="2" t="s">
        <v>431</v>
      </c>
      <c r="E278" s="6">
        <v>1200</v>
      </c>
      <c r="F278" s="18">
        <v>344464.51</v>
      </c>
      <c r="G278" s="18">
        <v>136154.26</v>
      </c>
      <c r="H278" s="18"/>
      <c r="I278" s="18">
        <v>961.36</v>
      </c>
      <c r="J278" s="18"/>
      <c r="K278" s="18"/>
      <c r="L278" s="19">
        <f>SUM(F278:K278)</f>
        <v>481580.13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4875.91</v>
      </c>
      <c r="G280" s="18">
        <v>1074.3499999999999</v>
      </c>
      <c r="H280" s="18"/>
      <c r="I280" s="18">
        <v>5459.14</v>
      </c>
      <c r="J280" s="18"/>
      <c r="K280" s="18"/>
      <c r="L280" s="19">
        <f>SUM(F280:K280)</f>
        <v>11409.400000000001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64201.32</v>
      </c>
      <c r="G282" s="18">
        <v>19453.650000000001</v>
      </c>
      <c r="H282" s="18">
        <v>3206.38</v>
      </c>
      <c r="I282" s="18">
        <v>2035.22</v>
      </c>
      <c r="J282" s="18"/>
      <c r="K282" s="18">
        <v>67.5</v>
      </c>
      <c r="L282" s="19">
        <f t="shared" ref="L282:L288" si="12">SUM(F282:K282)</f>
        <v>88964.07</v>
      </c>
      <c r="M282" s="8"/>
      <c r="N282" s="266"/>
    </row>
    <row r="283" spans="1:14" s="3" customFormat="1" ht="12.2" customHeight="1" x14ac:dyDescent="0.15">
      <c r="A283" s="1" t="s">
        <v>443</v>
      </c>
      <c r="B283" s="2" t="s">
        <v>357</v>
      </c>
      <c r="C283" s="2" t="s">
        <v>295</v>
      </c>
      <c r="D283" s="2" t="s">
        <v>431</v>
      </c>
      <c r="E283" s="6">
        <v>2200</v>
      </c>
      <c r="F283" s="18">
        <v>30920.54</v>
      </c>
      <c r="G283" s="18">
        <v>6891.73</v>
      </c>
      <c r="H283" s="18">
        <v>55529.66</v>
      </c>
      <c r="I283" s="18">
        <v>2046.24</v>
      </c>
      <c r="J283" s="18"/>
      <c r="K283" s="18">
        <v>25630.84</v>
      </c>
      <c r="L283" s="19">
        <f t="shared" si="12"/>
        <v>121019.01000000001</v>
      </c>
      <c r="M283" s="8"/>
      <c r="N283" s="266"/>
    </row>
    <row r="284" spans="1:14" s="3" customFormat="1" ht="12.2" customHeight="1" x14ac:dyDescent="0.15">
      <c r="A284" s="1" t="s">
        <v>444</v>
      </c>
      <c r="B284" s="2" t="s">
        <v>357</v>
      </c>
      <c r="C284" s="2" t="s">
        <v>296</v>
      </c>
      <c r="D284" s="2" t="s">
        <v>431</v>
      </c>
      <c r="E284" s="6">
        <v>2300</v>
      </c>
      <c r="F284" s="18">
        <v>64570.26</v>
      </c>
      <c r="G284" s="18">
        <v>21047.97</v>
      </c>
      <c r="H284" s="18">
        <v>67466.94</v>
      </c>
      <c r="I284" s="18">
        <v>11898.93</v>
      </c>
      <c r="J284" s="18"/>
      <c r="K284" s="18">
        <v>546.75</v>
      </c>
      <c r="L284" s="19">
        <f t="shared" si="12"/>
        <v>165530.85</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37469.800000000003</v>
      </c>
      <c r="L286" s="19">
        <f t="shared" si="12"/>
        <v>37469.800000000003</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26857.8</v>
      </c>
      <c r="I288" s="18"/>
      <c r="J288" s="18"/>
      <c r="K288" s="18"/>
      <c r="L288" s="19">
        <f t="shared" si="12"/>
        <v>26857.8</v>
      </c>
      <c r="M288" s="8"/>
      <c r="N288" s="266"/>
    </row>
    <row r="289" spans="1:14" s="3" customFormat="1" ht="12.2" customHeight="1" x14ac:dyDescent="0.15">
      <c r="A289" s="1" t="s">
        <v>449</v>
      </c>
      <c r="B289" s="2" t="s">
        <v>357</v>
      </c>
      <c r="C289" s="2" t="s">
        <v>343</v>
      </c>
      <c r="D289" s="2" t="s">
        <v>431</v>
      </c>
      <c r="E289" s="6">
        <v>2800</v>
      </c>
      <c r="F289" s="18"/>
      <c r="G289" s="18"/>
      <c r="H289" s="18"/>
      <c r="I289" s="18">
        <v>107.26</v>
      </c>
      <c r="J289" s="18"/>
      <c r="K289" s="18"/>
      <c r="L289" s="19">
        <f>SUM(F289:K289)</f>
        <v>107.26</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734698.02</v>
      </c>
      <c r="G291" s="42">
        <f t="shared" si="13"/>
        <v>262648.32000000001</v>
      </c>
      <c r="H291" s="42">
        <f t="shared" si="13"/>
        <v>154448.13</v>
      </c>
      <c r="I291" s="42">
        <f t="shared" si="13"/>
        <v>168731.33</v>
      </c>
      <c r="J291" s="42">
        <f t="shared" si="13"/>
        <v>7945.55</v>
      </c>
      <c r="K291" s="42">
        <f t="shared" si="13"/>
        <v>63714.89</v>
      </c>
      <c r="L291" s="41">
        <f t="shared" si="13"/>
        <v>1392186.2400000002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110325.4</v>
      </c>
      <c r="G296" s="18">
        <v>38146.230000000003</v>
      </c>
      <c r="H296" s="18">
        <v>678.26</v>
      </c>
      <c r="I296" s="18">
        <v>71486.89</v>
      </c>
      <c r="J296" s="18">
        <v>3884.49</v>
      </c>
      <c r="K296" s="18"/>
      <c r="L296" s="19">
        <f>SUM(F296:K296)</f>
        <v>224521.27000000002</v>
      </c>
      <c r="M296" s="8"/>
      <c r="N296" s="266"/>
    </row>
    <row r="297" spans="1:14" s="3" customFormat="1" ht="12.2" customHeight="1" x14ac:dyDescent="0.15">
      <c r="A297" s="1" t="s">
        <v>439</v>
      </c>
      <c r="B297" s="2" t="s">
        <v>358</v>
      </c>
      <c r="C297" s="2" t="s">
        <v>291</v>
      </c>
      <c r="D297" s="2" t="s">
        <v>431</v>
      </c>
      <c r="E297" s="6">
        <v>1200</v>
      </c>
      <c r="F297" s="18">
        <v>158774.94</v>
      </c>
      <c r="G297" s="18">
        <v>60861.54</v>
      </c>
      <c r="H297" s="18"/>
      <c r="I297" s="18">
        <v>470</v>
      </c>
      <c r="J297" s="18"/>
      <c r="K297" s="18"/>
      <c r="L297" s="19">
        <f>SUM(F297:K297)</f>
        <v>220106.48</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2383.7800000000002</v>
      </c>
      <c r="G299" s="18">
        <v>525.24</v>
      </c>
      <c r="H299" s="18"/>
      <c r="I299" s="18">
        <v>2668.92</v>
      </c>
      <c r="J299" s="18"/>
      <c r="K299" s="18"/>
      <c r="L299" s="19">
        <f>SUM(F299:K299)</f>
        <v>5577.9400000000005</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31387.32</v>
      </c>
      <c r="G301" s="18">
        <v>9510.67</v>
      </c>
      <c r="H301" s="18">
        <v>1567.56</v>
      </c>
      <c r="I301" s="18">
        <v>995</v>
      </c>
      <c r="J301" s="18"/>
      <c r="K301" s="18">
        <v>33</v>
      </c>
      <c r="L301" s="19">
        <f t="shared" ref="L301:L307" si="14">SUM(F301:K301)</f>
        <v>43493.549999999996</v>
      </c>
      <c r="M301" s="8"/>
      <c r="N301" s="266"/>
    </row>
    <row r="302" spans="1:14" s="3" customFormat="1" ht="12.2" customHeight="1" x14ac:dyDescent="0.15">
      <c r="A302" s="1" t="s">
        <v>443</v>
      </c>
      <c r="B302" s="2" t="s">
        <v>358</v>
      </c>
      <c r="C302" s="2" t="s">
        <v>295</v>
      </c>
      <c r="D302" s="2" t="s">
        <v>431</v>
      </c>
      <c r="E302" s="6">
        <v>2200</v>
      </c>
      <c r="F302" s="18">
        <v>15116.71</v>
      </c>
      <c r="G302" s="18">
        <v>3369.29</v>
      </c>
      <c r="H302" s="18">
        <v>27147.83</v>
      </c>
      <c r="I302" s="18">
        <v>1000.38</v>
      </c>
      <c r="J302" s="18"/>
      <c r="K302" s="18">
        <v>12530.63</v>
      </c>
      <c r="L302" s="19">
        <f t="shared" si="14"/>
        <v>59164.84</v>
      </c>
      <c r="M302" s="8"/>
      <c r="N302" s="266"/>
    </row>
    <row r="303" spans="1:14" s="3" customFormat="1" ht="12.2" customHeight="1" x14ac:dyDescent="0.15">
      <c r="A303" s="1" t="s">
        <v>444</v>
      </c>
      <c r="B303" s="2" t="s">
        <v>358</v>
      </c>
      <c r="C303" s="2" t="s">
        <v>296</v>
      </c>
      <c r="D303" s="2" t="s">
        <v>431</v>
      </c>
      <c r="E303" s="6">
        <v>2300</v>
      </c>
      <c r="F303" s="18">
        <v>31567.69</v>
      </c>
      <c r="G303" s="18">
        <v>10290.129999999999</v>
      </c>
      <c r="H303" s="18">
        <v>32983.839999999997</v>
      </c>
      <c r="I303" s="18">
        <v>5817.25</v>
      </c>
      <c r="J303" s="18"/>
      <c r="K303" s="18">
        <v>267.3</v>
      </c>
      <c r="L303" s="19">
        <f t="shared" si="14"/>
        <v>80926.210000000006</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v>18318.57</v>
      </c>
      <c r="L305" s="19">
        <f t="shared" si="14"/>
        <v>18318.57</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13130.48</v>
      </c>
      <c r="I307" s="18"/>
      <c r="J307" s="18"/>
      <c r="K307" s="18"/>
      <c r="L307" s="19">
        <f t="shared" si="14"/>
        <v>13130.48</v>
      </c>
      <c r="M307" s="8"/>
      <c r="N307" s="266"/>
    </row>
    <row r="308" spans="1:14" s="3" customFormat="1" ht="12.2" customHeight="1" x14ac:dyDescent="0.15">
      <c r="A308" s="1" t="s">
        <v>449</v>
      </c>
      <c r="B308" s="2" t="s">
        <v>358</v>
      </c>
      <c r="C308" s="2" t="s">
        <v>343</v>
      </c>
      <c r="D308" s="2" t="s">
        <v>431</v>
      </c>
      <c r="E308" s="6">
        <v>2800</v>
      </c>
      <c r="F308" s="18"/>
      <c r="G308" s="18"/>
      <c r="H308" s="18"/>
      <c r="I308" s="18">
        <v>52.44</v>
      </c>
      <c r="J308" s="18"/>
      <c r="K308" s="18"/>
      <c r="L308" s="19">
        <f>SUM(F308:K308)</f>
        <v>52.44</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349555.84</v>
      </c>
      <c r="G310" s="42">
        <f t="shared" si="15"/>
        <v>122703.1</v>
      </c>
      <c r="H310" s="42">
        <f t="shared" si="15"/>
        <v>75507.97</v>
      </c>
      <c r="I310" s="42">
        <f t="shared" si="15"/>
        <v>82490.880000000005</v>
      </c>
      <c r="J310" s="42">
        <f t="shared" si="15"/>
        <v>3884.49</v>
      </c>
      <c r="K310" s="42">
        <f t="shared" si="15"/>
        <v>31149.5</v>
      </c>
      <c r="L310" s="41">
        <f t="shared" si="15"/>
        <v>665291.7799999998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165488.09</v>
      </c>
      <c r="G315" s="18">
        <v>57219.33</v>
      </c>
      <c r="H315" s="18">
        <v>1017.39</v>
      </c>
      <c r="I315" s="18">
        <v>107230.33</v>
      </c>
      <c r="J315" s="18">
        <v>5826.73</v>
      </c>
      <c r="K315" s="18"/>
      <c r="L315" s="19">
        <f>SUM(F315:K315)</f>
        <v>336781.87</v>
      </c>
      <c r="M315" s="8"/>
      <c r="N315" s="266"/>
    </row>
    <row r="316" spans="1:14" s="3" customFormat="1" ht="12.2" customHeight="1" x14ac:dyDescent="0.15">
      <c r="A316" s="1" t="s">
        <v>439</v>
      </c>
      <c r="B316" s="2" t="s">
        <v>359</v>
      </c>
      <c r="C316" s="2" t="s">
        <v>291</v>
      </c>
      <c r="D316" s="2" t="s">
        <v>431</v>
      </c>
      <c r="E316" s="6">
        <v>1200</v>
      </c>
      <c r="F316" s="18">
        <v>238162.41</v>
      </c>
      <c r="G316" s="18">
        <v>91292.29</v>
      </c>
      <c r="H316" s="18"/>
      <c r="I316" s="18">
        <v>705</v>
      </c>
      <c r="J316" s="18"/>
      <c r="K316" s="18"/>
      <c r="L316" s="19">
        <f>SUM(F316:K316)</f>
        <v>330159.7</v>
      </c>
      <c r="M316" s="8"/>
      <c r="N316" s="266"/>
    </row>
    <row r="317" spans="1:14" s="3" customFormat="1" ht="12.2" customHeight="1" x14ac:dyDescent="0.15">
      <c r="A317" s="1" t="s">
        <v>440</v>
      </c>
      <c r="B317" s="2" t="s">
        <v>359</v>
      </c>
      <c r="C317" s="2" t="s">
        <v>292</v>
      </c>
      <c r="D317" s="2" t="s">
        <v>431</v>
      </c>
      <c r="E317" s="6">
        <v>1300</v>
      </c>
      <c r="F317" s="18"/>
      <c r="G317" s="18"/>
      <c r="H317" s="18">
        <v>9679.16</v>
      </c>
      <c r="I317" s="18">
        <f>18009.04+76.01+37.16</f>
        <v>18122.21</v>
      </c>
      <c r="J317" s="18">
        <f>73633.44-0.01</f>
        <v>73633.430000000008</v>
      </c>
      <c r="K317" s="18">
        <f>21248.3+2250+1100</f>
        <v>24598.3</v>
      </c>
      <c r="L317" s="19">
        <f>SUM(F317:K317)</f>
        <v>126033.1</v>
      </c>
      <c r="M317" s="8"/>
      <c r="N317" s="266"/>
    </row>
    <row r="318" spans="1:14" s="3" customFormat="1" ht="12.2" customHeight="1" x14ac:dyDescent="0.15">
      <c r="A318" s="1" t="s">
        <v>441</v>
      </c>
      <c r="B318" s="2" t="s">
        <v>359</v>
      </c>
      <c r="C318" s="2" t="s">
        <v>293</v>
      </c>
      <c r="D318" s="2" t="s">
        <v>431</v>
      </c>
      <c r="E318" s="6">
        <v>1400</v>
      </c>
      <c r="F318" s="18">
        <v>4415.6000000000004</v>
      </c>
      <c r="G318" s="18">
        <v>997.92</v>
      </c>
      <c r="H318" s="18"/>
      <c r="I318" s="18">
        <v>14608.45</v>
      </c>
      <c r="J318" s="18"/>
      <c r="K318" s="18"/>
      <c r="L318" s="19">
        <f>SUM(F318:K318)</f>
        <v>20021.97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47485.97</v>
      </c>
      <c r="G320" s="18">
        <v>14369.08</v>
      </c>
      <c r="H320" s="18">
        <v>2351.35</v>
      </c>
      <c r="I320" s="18">
        <v>1492.5</v>
      </c>
      <c r="J320" s="18"/>
      <c r="K320" s="18">
        <v>49.5</v>
      </c>
      <c r="L320" s="19">
        <f t="shared" ref="L320:L326" si="16">SUM(F320:K320)</f>
        <v>65748.399999999994</v>
      </c>
      <c r="M320" s="8"/>
      <c r="N320" s="266"/>
    </row>
    <row r="321" spans="1:14" s="3" customFormat="1" ht="12.2" customHeight="1" x14ac:dyDescent="0.15">
      <c r="A321" s="1" t="s">
        <v>443</v>
      </c>
      <c r="B321" s="2" t="s">
        <v>359</v>
      </c>
      <c r="C321" s="2" t="s">
        <v>295</v>
      </c>
      <c r="D321" s="2" t="s">
        <v>431</v>
      </c>
      <c r="E321" s="6">
        <v>2200</v>
      </c>
      <c r="F321" s="18">
        <v>22675.07</v>
      </c>
      <c r="G321" s="18">
        <v>5053.95</v>
      </c>
      <c r="H321" s="18">
        <v>40721.75</v>
      </c>
      <c r="I321" s="18">
        <v>1500.58</v>
      </c>
      <c r="J321" s="18"/>
      <c r="K321" s="18">
        <v>18795.95</v>
      </c>
      <c r="L321" s="19">
        <f t="shared" si="16"/>
        <v>88747.3</v>
      </c>
      <c r="M321" s="8"/>
      <c r="N321" s="266"/>
    </row>
    <row r="322" spans="1:14" s="3" customFormat="1" ht="12.2" customHeight="1" x14ac:dyDescent="0.15">
      <c r="A322" s="1" t="s">
        <v>444</v>
      </c>
      <c r="B322" s="2" t="s">
        <v>359</v>
      </c>
      <c r="C322" s="2" t="s">
        <v>296</v>
      </c>
      <c r="D322" s="2" t="s">
        <v>431</v>
      </c>
      <c r="E322" s="6">
        <v>2300</v>
      </c>
      <c r="F322" s="18">
        <v>47351.519999999997</v>
      </c>
      <c r="G322" s="18">
        <v>15435.2</v>
      </c>
      <c r="H322" s="18">
        <v>49475.75</v>
      </c>
      <c r="I322" s="18">
        <v>8725.8799999999992</v>
      </c>
      <c r="J322" s="18"/>
      <c r="K322" s="18">
        <v>400.95</v>
      </c>
      <c r="L322" s="19">
        <f t="shared" si="16"/>
        <v>121389.3</v>
      </c>
      <c r="M322" s="8"/>
      <c r="N322" s="266"/>
    </row>
    <row r="323" spans="1:14" s="3" customFormat="1" ht="12.2" customHeight="1" x14ac:dyDescent="0.15">
      <c r="A323" s="1" t="s">
        <v>445</v>
      </c>
      <c r="B323" s="2" t="s">
        <v>359</v>
      </c>
      <c r="C323" s="2" t="s">
        <v>297</v>
      </c>
      <c r="D323" s="2" t="s">
        <v>431</v>
      </c>
      <c r="E323" s="6">
        <v>2400</v>
      </c>
      <c r="F323" s="18">
        <v>26902.13</v>
      </c>
      <c r="G323" s="18">
        <v>2159.0300000000002</v>
      </c>
      <c r="H323" s="18"/>
      <c r="I323" s="18"/>
      <c r="J323" s="18"/>
      <c r="K323" s="18"/>
      <c r="L323" s="19">
        <f t="shared" si="16"/>
        <v>29061.16</v>
      </c>
      <c r="M323" s="8"/>
      <c r="N323" s="266"/>
    </row>
    <row r="324" spans="1:14" s="3" customFormat="1" ht="12.2" customHeight="1" x14ac:dyDescent="0.15">
      <c r="A324" s="1" t="s">
        <v>446</v>
      </c>
      <c r="B324" s="2" t="s">
        <v>359</v>
      </c>
      <c r="C324" s="2" t="s">
        <v>298</v>
      </c>
      <c r="D324" s="2" t="s">
        <v>431</v>
      </c>
      <c r="E324" s="6">
        <v>2500</v>
      </c>
      <c r="F324" s="18"/>
      <c r="G324" s="18"/>
      <c r="H324" s="18">
        <v>3153.02</v>
      </c>
      <c r="I324" s="18"/>
      <c r="J324" s="18"/>
      <c r="K324" s="18">
        <v>27902.720000000001</v>
      </c>
      <c r="L324" s="19">
        <f t="shared" si="16"/>
        <v>31055.74</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v>19695.72</v>
      </c>
      <c r="I326" s="18"/>
      <c r="J326" s="18"/>
      <c r="K326" s="18"/>
      <c r="L326" s="19">
        <f t="shared" si="16"/>
        <v>19695.72</v>
      </c>
      <c r="M326" s="8"/>
      <c r="N326" s="266"/>
    </row>
    <row r="327" spans="1:14" s="3" customFormat="1" ht="12.2" customHeight="1" x14ac:dyDescent="0.15">
      <c r="A327" s="1" t="s">
        <v>449</v>
      </c>
      <c r="B327" s="2" t="s">
        <v>359</v>
      </c>
      <c r="C327" s="2" t="s">
        <v>343</v>
      </c>
      <c r="D327" s="2" t="s">
        <v>431</v>
      </c>
      <c r="E327" s="6">
        <v>2800</v>
      </c>
      <c r="F327" s="18"/>
      <c r="G327" s="18"/>
      <c r="H327" s="18"/>
      <c r="I327" s="18">
        <v>771.09</v>
      </c>
      <c r="J327" s="18"/>
      <c r="K327" s="18"/>
      <c r="L327" s="19">
        <f>SUM(F327:K327)</f>
        <v>771.09</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552480.78999999992</v>
      </c>
      <c r="G329" s="42">
        <f t="shared" si="17"/>
        <v>186526.80000000002</v>
      </c>
      <c r="H329" s="42">
        <f t="shared" si="17"/>
        <v>126094.14</v>
      </c>
      <c r="I329" s="42">
        <f t="shared" si="17"/>
        <v>153156.04</v>
      </c>
      <c r="J329" s="42">
        <f t="shared" si="17"/>
        <v>79460.160000000003</v>
      </c>
      <c r="K329" s="42">
        <f t="shared" si="17"/>
        <v>71747.42</v>
      </c>
      <c r="L329" s="41">
        <f t="shared" si="17"/>
        <v>1169465.3500000001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v>15112.37</v>
      </c>
      <c r="I333" s="18"/>
      <c r="J333" s="18"/>
      <c r="K333" s="18"/>
      <c r="L333" s="19">
        <f t="shared" ref="L333:L338" si="18">SUM(F333:K333)</f>
        <v>15112.37</v>
      </c>
      <c r="M333" s="8"/>
      <c r="N333" s="266"/>
    </row>
    <row r="334" spans="1:14" s="3" customFormat="1" ht="12.2" customHeight="1" x14ac:dyDescent="0.15">
      <c r="A334" s="1" t="s">
        <v>353</v>
      </c>
      <c r="B334" s="6">
        <v>14</v>
      </c>
      <c r="C334" s="2" t="s">
        <v>309</v>
      </c>
      <c r="D334" s="2" t="s">
        <v>431</v>
      </c>
      <c r="E334" s="6">
        <v>1600</v>
      </c>
      <c r="F334" s="18">
        <v>1350</v>
      </c>
      <c r="G334" s="18">
        <v>103.27</v>
      </c>
      <c r="H334" s="18"/>
      <c r="I334" s="18">
        <v>504.33</v>
      </c>
      <c r="J334" s="18">
        <v>346.64</v>
      </c>
      <c r="K334" s="18"/>
      <c r="L334" s="19">
        <f t="shared" si="18"/>
        <v>2304.2399999999998</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v>30789.31</v>
      </c>
      <c r="I336" s="18">
        <v>350</v>
      </c>
      <c r="J336" s="18"/>
      <c r="K336" s="18"/>
      <c r="L336" s="19">
        <f t="shared" si="18"/>
        <v>31139.31</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1350</v>
      </c>
      <c r="G338" s="41">
        <f t="shared" si="19"/>
        <v>103.27</v>
      </c>
      <c r="H338" s="41">
        <f t="shared" si="19"/>
        <v>45901.68</v>
      </c>
      <c r="I338" s="41">
        <f t="shared" si="19"/>
        <v>854.32999999999993</v>
      </c>
      <c r="J338" s="41">
        <f t="shared" si="19"/>
        <v>346.64</v>
      </c>
      <c r="K338" s="41">
        <f t="shared" si="19"/>
        <v>0</v>
      </c>
      <c r="L338" s="41">
        <f t="shared" si="18"/>
        <v>48555.92</v>
      </c>
      <c r="M338" s="8"/>
      <c r="N338" s="266"/>
    </row>
    <row r="339" spans="1:43" s="3" customFormat="1" ht="12.2" customHeight="1" thickTop="1" x14ac:dyDescent="0.15">
      <c r="A339" s="38" t="s">
        <v>468</v>
      </c>
      <c r="B339" s="40">
        <v>14</v>
      </c>
      <c r="C339" s="40">
        <v>7</v>
      </c>
      <c r="D339" s="39" t="s">
        <v>431</v>
      </c>
      <c r="E339" s="40"/>
      <c r="F339" s="41">
        <f t="shared" ref="F339:L339" si="20">F291+F310+F329+F338</f>
        <v>1638084.65</v>
      </c>
      <c r="G339" s="41">
        <f t="shared" si="20"/>
        <v>571981.49000000011</v>
      </c>
      <c r="H339" s="41">
        <f t="shared" si="20"/>
        <v>401951.92</v>
      </c>
      <c r="I339" s="41">
        <f t="shared" si="20"/>
        <v>405232.58</v>
      </c>
      <c r="J339" s="41">
        <f t="shared" si="20"/>
        <v>91636.840000000011</v>
      </c>
      <c r="K339" s="41">
        <f t="shared" si="20"/>
        <v>166611.81</v>
      </c>
      <c r="L339" s="41">
        <f t="shared" si="20"/>
        <v>3275499.29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1638084.65</v>
      </c>
      <c r="G353" s="41">
        <f>G339</f>
        <v>571981.49000000011</v>
      </c>
      <c r="H353" s="41">
        <f>H339</f>
        <v>401951.92</v>
      </c>
      <c r="I353" s="41">
        <f>I339</f>
        <v>405232.58</v>
      </c>
      <c r="J353" s="41">
        <f>J339</f>
        <v>91636.840000000011</v>
      </c>
      <c r="K353" s="47">
        <f>K339+K352</f>
        <v>166611.81</v>
      </c>
      <c r="L353" s="41">
        <f>L339+L352</f>
        <v>3275499.29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296875.81</v>
      </c>
      <c r="G359" s="18">
        <v>137563.23000000001</v>
      </c>
      <c r="H359" s="18">
        <v>135412.79999999999</v>
      </c>
      <c r="I359" s="18">
        <v>276642.93</v>
      </c>
      <c r="J359" s="18">
        <v>2429.7199999999998</v>
      </c>
      <c r="K359" s="18">
        <v>530.78</v>
      </c>
      <c r="L359" s="13">
        <f>SUM(F359:K359)</f>
        <v>849455.27</v>
      </c>
      <c r="M359" s="8"/>
      <c r="N359" s="266"/>
    </row>
    <row r="360" spans="1:22" s="3" customFormat="1" ht="12.2" customHeight="1" x14ac:dyDescent="0.15">
      <c r="A360" s="1" t="s">
        <v>542</v>
      </c>
      <c r="B360" s="2" t="s">
        <v>366</v>
      </c>
      <c r="C360" s="6">
        <v>2</v>
      </c>
      <c r="D360" s="2" t="s">
        <v>431</v>
      </c>
      <c r="E360" s="6"/>
      <c r="F360" s="18">
        <v>108707.92</v>
      </c>
      <c r="G360" s="18">
        <v>40097.81</v>
      </c>
      <c r="H360" s="18">
        <v>57072.29</v>
      </c>
      <c r="I360" s="18">
        <v>97210.06</v>
      </c>
      <c r="J360" s="18">
        <v>1056.4000000000001</v>
      </c>
      <c r="K360" s="18">
        <v>230.78</v>
      </c>
      <c r="L360" s="19">
        <f>SUM(F360:K360)</f>
        <v>304375.26</v>
      </c>
      <c r="M360" s="8"/>
      <c r="N360" s="266"/>
    </row>
    <row r="361" spans="1:22" s="3" customFormat="1" ht="12.2" customHeight="1" x14ac:dyDescent="0.15">
      <c r="A361" s="3" t="s">
        <v>543</v>
      </c>
      <c r="B361" s="2" t="s">
        <v>366</v>
      </c>
      <c r="C361" s="6">
        <v>3</v>
      </c>
      <c r="D361" s="2" t="s">
        <v>431</v>
      </c>
      <c r="E361" s="6"/>
      <c r="F361" s="18">
        <v>162730.04999999999</v>
      </c>
      <c r="G361" s="18">
        <v>89458.81</v>
      </c>
      <c r="H361" s="18">
        <v>100630.82</v>
      </c>
      <c r="I361" s="18">
        <v>165257.10999999999</v>
      </c>
      <c r="J361" s="18">
        <v>1795.88</v>
      </c>
      <c r="K361" s="18">
        <v>392.32</v>
      </c>
      <c r="L361" s="19">
        <f>SUM(F361:K361)</f>
        <v>520264.99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568313.78</v>
      </c>
      <c r="G363" s="47">
        <f t="shared" si="22"/>
        <v>267119.84999999998</v>
      </c>
      <c r="H363" s="47">
        <f t="shared" si="22"/>
        <v>293115.91000000003</v>
      </c>
      <c r="I363" s="47">
        <f t="shared" si="22"/>
        <v>539110.1</v>
      </c>
      <c r="J363" s="47">
        <f t="shared" si="22"/>
        <v>5282</v>
      </c>
      <c r="K363" s="47">
        <f t="shared" si="22"/>
        <v>1153.8799999999999</v>
      </c>
      <c r="L363" s="47">
        <f t="shared" si="22"/>
        <v>1674095.52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252982.93</v>
      </c>
      <c r="G368" s="18">
        <v>87379.69</v>
      </c>
      <c r="H368" s="18">
        <v>148545.48000000001</v>
      </c>
      <c r="I368" s="56">
        <f>SUM(F368:H368)</f>
        <v>488908.1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23660</v>
      </c>
      <c r="G369" s="63">
        <v>9830.3700000000008</v>
      </c>
      <c r="H369" s="63">
        <v>16711.63</v>
      </c>
      <c r="I369" s="56">
        <f>SUM(F369:H369)</f>
        <v>50202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276642.93</v>
      </c>
      <c r="G370" s="47">
        <f>SUM(G368:G369)</f>
        <v>97210.06</v>
      </c>
      <c r="H370" s="47">
        <f>SUM(H368:H369)</f>
        <v>165257.11000000002</v>
      </c>
      <c r="I370" s="47">
        <f>SUM(I368:I369)</f>
        <v>539110.1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1607049.55</v>
      </c>
      <c r="I380" s="18"/>
      <c r="J380" s="18"/>
      <c r="K380" s="18"/>
      <c r="L380" s="13">
        <f t="shared" si="23"/>
        <v>1607049.55</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1607049.55</v>
      </c>
      <c r="I383" s="41">
        <f t="shared" si="24"/>
        <v>0</v>
      </c>
      <c r="J383" s="47">
        <f t="shared" si="24"/>
        <v>0</v>
      </c>
      <c r="K383" s="47">
        <f t="shared" si="24"/>
        <v>0</v>
      </c>
      <c r="L383" s="47">
        <f t="shared" si="24"/>
        <v>1607049.55</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c r="G466" s="18">
        <v>19988</v>
      </c>
      <c r="H466" s="18"/>
      <c r="I466" s="18">
        <v>1607049.55</v>
      </c>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65474950</v>
      </c>
      <c r="G469" s="18">
        <f>57460.87+1616634.65</f>
        <v>1674095.52</v>
      </c>
      <c r="H469" s="18">
        <v>3275499.29</v>
      </c>
      <c r="I469" s="18">
        <v>1293352.31</v>
      </c>
      <c r="J469" s="18"/>
      <c r="K469" s="24" t="s">
        <v>288</v>
      </c>
      <c r="L469" s="24" t="s">
        <v>288</v>
      </c>
      <c r="N469" s="265"/>
    </row>
    <row r="470" spans="1:14" s="52" customFormat="1" ht="12.2" customHeight="1" x14ac:dyDescent="0.2">
      <c r="A470" s="93" t="s">
        <v>611</v>
      </c>
      <c r="B470" s="75">
        <v>19</v>
      </c>
      <c r="C470" s="80">
        <v>3</v>
      </c>
      <c r="D470" s="2" t="s">
        <v>432</v>
      </c>
      <c r="E470" s="80"/>
      <c r="F470" s="18"/>
      <c r="G470" s="18">
        <v>21904.99</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65474950</v>
      </c>
      <c r="G471" s="53">
        <f>SUM(G469:G470)</f>
        <v>1696000.51</v>
      </c>
      <c r="H471" s="53">
        <f>SUM(H469:H470)</f>
        <v>3275499.29</v>
      </c>
      <c r="I471" s="53">
        <f>SUM(I469:I470)</f>
        <v>1293352.31</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63502384.340000004</v>
      </c>
      <c r="G473" s="18">
        <f>57460.87+1616634.65</f>
        <v>1674095.52</v>
      </c>
      <c r="H473" s="18">
        <v>3275499.29</v>
      </c>
      <c r="I473" s="18">
        <v>1607049.55</v>
      </c>
      <c r="J473" s="18"/>
      <c r="K473" s="24" t="s">
        <v>288</v>
      </c>
      <c r="L473" s="24" t="s">
        <v>288</v>
      </c>
      <c r="N473" s="265"/>
    </row>
    <row r="474" spans="1:14" s="52" customFormat="1" ht="12.2" customHeight="1" x14ac:dyDescent="0.2">
      <c r="A474" s="93" t="s">
        <v>613</v>
      </c>
      <c r="B474" s="75">
        <v>19</v>
      </c>
      <c r="C474" s="80">
        <v>6</v>
      </c>
      <c r="D474" s="2" t="s">
        <v>432</v>
      </c>
      <c r="E474" s="80"/>
      <c r="F474" s="18">
        <v>1972565.66</v>
      </c>
      <c r="G474" s="18">
        <v>19988</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65474950</v>
      </c>
      <c r="G475" s="53">
        <f>SUM(G473:G474)</f>
        <v>1694083.52</v>
      </c>
      <c r="H475" s="53">
        <f>SUM(H473:H474)</f>
        <v>3275499.29</v>
      </c>
      <c r="I475" s="53">
        <f>SUM(I473:I474)</f>
        <v>1607049.55</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21904.989999999991</v>
      </c>
      <c r="H477" s="53">
        <f>(H466+H471)- H475</f>
        <v>0</v>
      </c>
      <c r="I477" s="53">
        <f>(I466+I471)- I475</f>
        <v>1293352.3100000003</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342">
        <f>92194+90693.05</f>
        <v>182887.05</v>
      </c>
      <c r="H496" s="342">
        <f>160000+160000+160000+147000+15000+15000+10000</f>
        <v>667000</v>
      </c>
      <c r="I496" s="342">
        <f>70788.64+69358.57+67213.46+65783.39+64353.31+62923.24+44090.84+40204.66+40204.66+40204.66+40204.66+40204.66+54154.46+55436.22+56717.98+58320.18+60242.83+62165.47</f>
        <v>992571.89000000013</v>
      </c>
      <c r="J496" s="342">
        <f>16347603.62-1065000+20952.38+92059.63+30856+32822.06+45000+16000+570000+19368.94+34631.04+81145.68+228118.01</f>
        <v>16453557.359999999</v>
      </c>
      <c r="K496" s="53">
        <f>SUM(F496:J496)</f>
        <v>18296016.300000001</v>
      </c>
      <c r="L496" s="24" t="s">
        <v>288</v>
      </c>
      <c r="N496" s="265"/>
    </row>
    <row r="497" spans="1:14" s="52" customFormat="1" ht="12.2" customHeight="1" x14ac:dyDescent="0.2">
      <c r="A497" s="22" t="s">
        <v>620</v>
      </c>
      <c r="B497" s="75">
        <v>20</v>
      </c>
      <c r="C497" s="115">
        <v>7</v>
      </c>
      <c r="D497" s="2" t="s">
        <v>432</v>
      </c>
      <c r="E497" s="115"/>
      <c r="F497" s="18"/>
      <c r="G497" s="342">
        <v>0</v>
      </c>
      <c r="H497" s="342">
        <v>0</v>
      </c>
      <c r="I497" s="342">
        <v>0</v>
      </c>
      <c r="J497" s="342">
        <v>1065000</v>
      </c>
      <c r="K497" s="53">
        <f t="shared" ref="K497:K504" si="35">SUM(F497:J497)</f>
        <v>1065000</v>
      </c>
      <c r="L497" s="24" t="s">
        <v>288</v>
      </c>
      <c r="N497" s="265"/>
    </row>
    <row r="498" spans="1:14" s="52" customFormat="1" ht="12.2" customHeight="1" x14ac:dyDescent="0.2">
      <c r="A498" s="22" t="s">
        <v>621</v>
      </c>
      <c r="B498" s="75">
        <v>20</v>
      </c>
      <c r="C498" s="115">
        <v>8</v>
      </c>
      <c r="D498" s="2" t="s">
        <v>432</v>
      </c>
      <c r="E498" s="115"/>
      <c r="F498" s="18"/>
      <c r="G498" s="342">
        <v>0</v>
      </c>
      <c r="H498" s="342">
        <v>0</v>
      </c>
      <c r="I498" s="342">
        <v>0</v>
      </c>
      <c r="J498" s="342">
        <v>0</v>
      </c>
      <c r="K498" s="53">
        <f t="shared" si="35"/>
        <v>0</v>
      </c>
      <c r="L498" s="24" t="s">
        <v>288</v>
      </c>
      <c r="N498" s="265"/>
    </row>
    <row r="499" spans="1:14" s="52" customFormat="1" ht="12.2" customHeight="1" x14ac:dyDescent="0.2">
      <c r="A499" s="200" t="s">
        <v>622</v>
      </c>
      <c r="B499" s="201">
        <v>20</v>
      </c>
      <c r="C499" s="202">
        <v>9</v>
      </c>
      <c r="D499" s="203" t="s">
        <v>432</v>
      </c>
      <c r="E499" s="202"/>
      <c r="F499" s="204"/>
      <c r="G499" s="342">
        <f>92194+90693.05</f>
        <v>182887.05</v>
      </c>
      <c r="H499" s="342">
        <f>160000+160000+147000+15000+10000</f>
        <v>492000</v>
      </c>
      <c r="I499" s="342">
        <f>+I496-70788.64-44090.84-54154.46</f>
        <v>823537.95000000019</v>
      </c>
      <c r="J499" s="342">
        <v>16347603.619999999</v>
      </c>
      <c r="K499" s="205">
        <f t="shared" si="35"/>
        <v>17846028.620000001</v>
      </c>
      <c r="L499" s="206" t="s">
        <v>288</v>
      </c>
      <c r="N499" s="265"/>
    </row>
    <row r="500" spans="1:14" s="52" customFormat="1" ht="12.2" customHeight="1" thickBot="1" x14ac:dyDescent="0.25">
      <c r="A500" s="22" t="s">
        <v>623</v>
      </c>
      <c r="B500" s="75">
        <v>20</v>
      </c>
      <c r="C500" s="115">
        <v>10</v>
      </c>
      <c r="D500" s="2" t="s">
        <v>432</v>
      </c>
      <c r="E500" s="115"/>
      <c r="F500" s="18"/>
      <c r="G500" s="342">
        <f>1700.49</f>
        <v>1700.49</v>
      </c>
      <c r="H500" s="342">
        <f>17949+10589+3454.5+900+600+300</f>
        <v>33792.5</v>
      </c>
      <c r="I500" s="342">
        <f>7187.91+5738.17+4283.07+2578.6+786.54+34121.68+44300.9-8676.16-9947.28-7353.42-8889.82</f>
        <v>64130.189999999995</v>
      </c>
      <c r="J500" s="342">
        <v>4159101.39</v>
      </c>
      <c r="K500" s="53">
        <f t="shared" si="35"/>
        <v>4258724.57</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184587.53999999998</v>
      </c>
      <c r="H501" s="42">
        <f>SUM(H499:H500)</f>
        <v>525792.5</v>
      </c>
      <c r="I501" s="42">
        <f>SUM(I499:I500)</f>
        <v>887668.14000000013</v>
      </c>
      <c r="J501" s="42">
        <f>SUM(J499:J500)</f>
        <v>20506705.009999998</v>
      </c>
      <c r="K501" s="42">
        <f t="shared" si="35"/>
        <v>22104753.189999998</v>
      </c>
      <c r="L501" s="45" t="s">
        <v>288</v>
      </c>
      <c r="N501" s="265"/>
    </row>
    <row r="502" spans="1:14" s="52" customFormat="1" ht="12.2" customHeight="1" x14ac:dyDescent="0.2">
      <c r="A502" s="200" t="s">
        <v>651</v>
      </c>
      <c r="B502" s="201">
        <v>20</v>
      </c>
      <c r="C502" s="202">
        <v>12</v>
      </c>
      <c r="D502" s="203" t="s">
        <v>432</v>
      </c>
      <c r="E502" s="202"/>
      <c r="F502" s="204"/>
      <c r="G502" s="342">
        <v>182887.05</v>
      </c>
      <c r="H502" s="342">
        <f>160000+15000</f>
        <v>175000</v>
      </c>
      <c r="I502" s="342">
        <f>40204.66+55436.22+69358.57</f>
        <v>164999.45000000001</v>
      </c>
      <c r="J502" s="342">
        <v>1207441.46</v>
      </c>
      <c r="K502" s="205">
        <f t="shared" si="35"/>
        <v>1730327.96</v>
      </c>
      <c r="L502" s="206" t="s">
        <v>288</v>
      </c>
      <c r="N502" s="265"/>
    </row>
    <row r="503" spans="1:14" s="52" customFormat="1" ht="12.2" customHeight="1" thickBot="1" x14ac:dyDescent="0.25">
      <c r="A503" s="22" t="s">
        <v>625</v>
      </c>
      <c r="B503" s="75">
        <v>20</v>
      </c>
      <c r="C503" s="115">
        <v>13</v>
      </c>
      <c r="D503" s="2" t="s">
        <v>432</v>
      </c>
      <c r="E503" s="115"/>
      <c r="F503" s="18"/>
      <c r="G503" s="342">
        <v>1700.49</v>
      </c>
      <c r="H503" s="342">
        <f>17949+600</f>
        <v>18549</v>
      </c>
      <c r="I503" s="342">
        <f>7187.91+6030.7+7806.74</f>
        <v>21025.35</v>
      </c>
      <c r="J503" s="342">
        <v>594084.36</v>
      </c>
      <c r="K503" s="53">
        <f t="shared" si="35"/>
        <v>635359.19999999995</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184587.53999999998</v>
      </c>
      <c r="H504" s="42">
        <f>SUM(H502:H503)</f>
        <v>193549</v>
      </c>
      <c r="I504" s="42">
        <f>SUM(I502:I503)</f>
        <v>186024.80000000002</v>
      </c>
      <c r="J504" s="42">
        <f>SUM(J502:J503)</f>
        <v>1801525.8199999998</v>
      </c>
      <c r="K504" s="42">
        <f t="shared" si="35"/>
        <v>2365687.1599999997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5061546.46</v>
      </c>
      <c r="G522" s="18">
        <v>1774607.29</v>
      </c>
      <c r="H522" s="18">
        <v>960660.33</v>
      </c>
      <c r="I522" s="18">
        <v>18310.37</v>
      </c>
      <c r="J522" s="18"/>
      <c r="K522" s="18">
        <v>3900</v>
      </c>
      <c r="L522" s="88">
        <f>SUM(F522:K522)</f>
        <v>7819024.4500000002</v>
      </c>
      <c r="N522" s="265"/>
    </row>
    <row r="523" spans="1:14" s="52" customFormat="1" ht="12.2" customHeight="1" x14ac:dyDescent="0.2">
      <c r="A523" s="22" t="s">
        <v>634</v>
      </c>
      <c r="B523" s="105">
        <v>21</v>
      </c>
      <c r="C523" s="115">
        <v>2</v>
      </c>
      <c r="D523" s="2" t="s">
        <v>432</v>
      </c>
      <c r="E523" s="115"/>
      <c r="F523" s="18">
        <v>1391871.47</v>
      </c>
      <c r="G523" s="18">
        <v>589747.43000000005</v>
      </c>
      <c r="H523" s="18">
        <v>1092843.6499999999</v>
      </c>
      <c r="I523" s="18">
        <v>7662.61</v>
      </c>
      <c r="J523" s="18"/>
      <c r="K523" s="18">
        <v>1000</v>
      </c>
      <c r="L523" s="88">
        <f>SUM(F523:K523)</f>
        <v>3083125.1599999997</v>
      </c>
      <c r="N523" s="265"/>
    </row>
    <row r="524" spans="1:14" s="52" customFormat="1" ht="12.2" customHeight="1" thickBot="1" x14ac:dyDescent="0.25">
      <c r="A524" s="22" t="s">
        <v>635</v>
      </c>
      <c r="B524" s="105">
        <v>21</v>
      </c>
      <c r="C524" s="115">
        <v>3</v>
      </c>
      <c r="D524" s="2" t="s">
        <v>432</v>
      </c>
      <c r="E524" s="115"/>
      <c r="F524" s="18">
        <v>1032587.69</v>
      </c>
      <c r="G524" s="18">
        <v>411647.55</v>
      </c>
      <c r="H524" s="18">
        <v>1817360.43</v>
      </c>
      <c r="I524" s="18">
        <v>7451.95</v>
      </c>
      <c r="J524" s="18"/>
      <c r="K524" s="18">
        <v>1315</v>
      </c>
      <c r="L524" s="88">
        <f>SUM(F524:K524)</f>
        <v>3270362.62</v>
      </c>
      <c r="N524" s="265"/>
    </row>
    <row r="525" spans="1:14" s="52" customFormat="1" ht="12.2" customHeight="1" thickTop="1" x14ac:dyDescent="0.2">
      <c r="A525" s="139" t="s">
        <v>63</v>
      </c>
      <c r="B525" s="107">
        <v>21</v>
      </c>
      <c r="C525" s="195">
        <v>4</v>
      </c>
      <c r="D525" s="196" t="s">
        <v>432</v>
      </c>
      <c r="E525" s="195"/>
      <c r="F525" s="108">
        <f>SUM(F522:F524)</f>
        <v>7486005.6199999992</v>
      </c>
      <c r="G525" s="108">
        <f t="shared" ref="G525:L525" si="36">SUM(G522:G524)</f>
        <v>2776002.27</v>
      </c>
      <c r="H525" s="108">
        <f t="shared" si="36"/>
        <v>3870864.41</v>
      </c>
      <c r="I525" s="108">
        <f t="shared" si="36"/>
        <v>33424.93</v>
      </c>
      <c r="J525" s="108">
        <f t="shared" si="36"/>
        <v>0</v>
      </c>
      <c r="K525" s="108">
        <f t="shared" si="36"/>
        <v>6215</v>
      </c>
      <c r="L525" s="89">
        <f t="shared" si="36"/>
        <v>14172512.23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256058.95</v>
      </c>
      <c r="G527" s="18">
        <v>116101.17</v>
      </c>
      <c r="H527" s="18">
        <v>1225713.7</v>
      </c>
      <c r="I527" s="18"/>
      <c r="J527" s="18"/>
      <c r="K527" s="18"/>
      <c r="L527" s="88">
        <f>SUM(F527:K527)</f>
        <v>1597873.8199999998</v>
      </c>
      <c r="M527" s="8"/>
      <c r="N527" s="266"/>
    </row>
    <row r="528" spans="1:14" s="3" customFormat="1" ht="12.2" customHeight="1" x14ac:dyDescent="0.15">
      <c r="A528" s="22" t="s">
        <v>634</v>
      </c>
      <c r="B528" s="105">
        <v>21</v>
      </c>
      <c r="C528" s="115">
        <v>6</v>
      </c>
      <c r="D528" s="2" t="s">
        <v>432</v>
      </c>
      <c r="E528" s="115"/>
      <c r="F528" s="18">
        <v>115554.44</v>
      </c>
      <c r="G528" s="18">
        <v>51057.8</v>
      </c>
      <c r="H528" s="18">
        <v>439674.13</v>
      </c>
      <c r="I528" s="18"/>
      <c r="J528" s="18"/>
      <c r="K528" s="18"/>
      <c r="L528" s="88">
        <f>SUM(F528:K528)</f>
        <v>606286.37</v>
      </c>
      <c r="M528" s="8"/>
      <c r="N528" s="266"/>
    </row>
    <row r="529" spans="1:14" s="3" customFormat="1" ht="12.2" customHeight="1" thickBot="1" x14ac:dyDescent="0.2">
      <c r="A529" s="22" t="s">
        <v>635</v>
      </c>
      <c r="B529" s="118">
        <v>21</v>
      </c>
      <c r="C529" s="118">
        <v>7</v>
      </c>
      <c r="D529" s="2" t="s">
        <v>432</v>
      </c>
      <c r="E529" s="118"/>
      <c r="F529" s="18">
        <v>173331.66</v>
      </c>
      <c r="G529" s="18">
        <v>76586.69</v>
      </c>
      <c r="H529" s="18">
        <v>559541.55000000005</v>
      </c>
      <c r="I529" s="18"/>
      <c r="J529" s="18"/>
      <c r="K529" s="18"/>
      <c r="L529" s="88">
        <f>SUM(F529:K529)</f>
        <v>809459.9</v>
      </c>
      <c r="M529" s="8"/>
      <c r="N529" s="266"/>
    </row>
    <row r="530" spans="1:14" s="3" customFormat="1" ht="12.2" customHeight="1" thickTop="1" x14ac:dyDescent="0.15">
      <c r="A530" s="139" t="s">
        <v>65</v>
      </c>
      <c r="B530" s="107">
        <v>21</v>
      </c>
      <c r="C530" s="107">
        <v>8</v>
      </c>
      <c r="D530" s="158" t="s">
        <v>432</v>
      </c>
      <c r="E530" s="107"/>
      <c r="F530" s="89">
        <f>SUM(F527:F529)</f>
        <v>544945.05000000005</v>
      </c>
      <c r="G530" s="89">
        <f t="shared" ref="G530:L530" si="37">SUM(G527:G529)</f>
        <v>243745.66</v>
      </c>
      <c r="H530" s="89">
        <f t="shared" si="37"/>
        <v>2224929.38</v>
      </c>
      <c r="I530" s="89">
        <f t="shared" si="37"/>
        <v>0</v>
      </c>
      <c r="J530" s="89">
        <f t="shared" si="37"/>
        <v>0</v>
      </c>
      <c r="K530" s="89">
        <f t="shared" si="37"/>
        <v>0</v>
      </c>
      <c r="L530" s="89">
        <f t="shared" si="37"/>
        <v>3013620.09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173538.03</v>
      </c>
      <c r="G532" s="18">
        <v>84385.59</v>
      </c>
      <c r="H532" s="18">
        <v>9288.07</v>
      </c>
      <c r="I532" s="18">
        <v>58.59</v>
      </c>
      <c r="J532" s="18"/>
      <c r="K532" s="18">
        <v>194914.99</v>
      </c>
      <c r="L532" s="88">
        <f>SUM(F532:K532)</f>
        <v>462185.27</v>
      </c>
      <c r="M532" s="8"/>
      <c r="N532" s="266"/>
    </row>
    <row r="533" spans="1:14" s="3" customFormat="1" ht="12.2" customHeight="1" x14ac:dyDescent="0.15">
      <c r="A533" s="22" t="s">
        <v>634</v>
      </c>
      <c r="B533" s="105">
        <v>21</v>
      </c>
      <c r="C533" s="105">
        <v>10</v>
      </c>
      <c r="D533" s="2" t="s">
        <v>432</v>
      </c>
      <c r="E533" s="105"/>
      <c r="F533" s="18">
        <v>84840.81</v>
      </c>
      <c r="G533" s="18">
        <v>41255.17</v>
      </c>
      <c r="H533" s="18">
        <v>4540.84</v>
      </c>
      <c r="I533" s="18">
        <v>28.64</v>
      </c>
      <c r="J533" s="18"/>
      <c r="K533" s="18">
        <v>95291.77</v>
      </c>
      <c r="L533" s="88">
        <f>SUM(F533:K533)</f>
        <v>225957.22999999998</v>
      </c>
      <c r="M533" s="8"/>
      <c r="N533" s="266"/>
    </row>
    <row r="534" spans="1:14" s="3" customFormat="1" ht="12.2" customHeight="1" thickBot="1" x14ac:dyDescent="0.2">
      <c r="A534" s="22" t="s">
        <v>635</v>
      </c>
      <c r="B534" s="105">
        <v>21</v>
      </c>
      <c r="C534" s="105">
        <v>11</v>
      </c>
      <c r="D534" s="2" t="s">
        <v>432</v>
      </c>
      <c r="E534" s="105"/>
      <c r="F534" s="18">
        <v>127261.22</v>
      </c>
      <c r="G534" s="18">
        <v>61882.77</v>
      </c>
      <c r="H534" s="18">
        <v>6811.26</v>
      </c>
      <c r="I534" s="18">
        <v>42.96</v>
      </c>
      <c r="J534" s="18"/>
      <c r="K534" s="18">
        <v>143362.51999999999</v>
      </c>
      <c r="L534" s="88">
        <f>SUM(F534:K534)</f>
        <v>339360.73</v>
      </c>
      <c r="M534" s="8"/>
      <c r="N534" s="266"/>
    </row>
    <row r="535" spans="1:14" s="3" customFormat="1" ht="12.2" customHeight="1" thickTop="1" x14ac:dyDescent="0.15">
      <c r="A535" s="139" t="s">
        <v>67</v>
      </c>
      <c r="B535" s="107">
        <v>21</v>
      </c>
      <c r="C535" s="107">
        <v>12</v>
      </c>
      <c r="D535" s="158" t="s">
        <v>432</v>
      </c>
      <c r="E535" s="107"/>
      <c r="F535" s="89">
        <f>SUM(F532:F534)</f>
        <v>385640.06</v>
      </c>
      <c r="G535" s="89">
        <f t="shared" ref="G535:L535" si="38">SUM(G532:G534)</f>
        <v>187523.53</v>
      </c>
      <c r="H535" s="89">
        <f t="shared" si="38"/>
        <v>20640.169999999998</v>
      </c>
      <c r="I535" s="89">
        <f t="shared" si="38"/>
        <v>130.19</v>
      </c>
      <c r="J535" s="89">
        <f t="shared" si="38"/>
        <v>0</v>
      </c>
      <c r="K535" s="89">
        <f t="shared" si="38"/>
        <v>433569.28000000003</v>
      </c>
      <c r="L535" s="89">
        <f t="shared" si="38"/>
        <v>1027503.23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36119.160000000003</v>
      </c>
      <c r="I537" s="18"/>
      <c r="J537" s="18"/>
      <c r="K537" s="18"/>
      <c r="L537" s="88">
        <f>SUM(F537:K537)</f>
        <v>36119.160000000003</v>
      </c>
      <c r="M537" s="8"/>
      <c r="N537" s="266"/>
    </row>
    <row r="538" spans="1:14" s="3" customFormat="1" ht="12.2" customHeight="1" x14ac:dyDescent="0.15">
      <c r="A538" s="22" t="s">
        <v>634</v>
      </c>
      <c r="B538" s="105">
        <v>21</v>
      </c>
      <c r="C538" s="105">
        <v>14</v>
      </c>
      <c r="D538" s="2" t="s">
        <v>432</v>
      </c>
      <c r="E538" s="105"/>
      <c r="F538" s="18"/>
      <c r="G538" s="18"/>
      <c r="H538" s="18">
        <v>17658.25</v>
      </c>
      <c r="I538" s="18"/>
      <c r="J538" s="18"/>
      <c r="K538" s="18"/>
      <c r="L538" s="88">
        <f>SUM(F538:K538)</f>
        <v>17658.25</v>
      </c>
      <c r="M538" s="8"/>
      <c r="N538" s="266"/>
    </row>
    <row r="539" spans="1:14" s="3" customFormat="1" ht="12.2" customHeight="1" thickBot="1" x14ac:dyDescent="0.2">
      <c r="A539" s="22" t="s">
        <v>635</v>
      </c>
      <c r="B539" s="105">
        <v>21</v>
      </c>
      <c r="C539" s="105">
        <v>15</v>
      </c>
      <c r="D539" s="2" t="s">
        <v>432</v>
      </c>
      <c r="E539" s="105"/>
      <c r="F539" s="18"/>
      <c r="G539" s="18"/>
      <c r="H539" s="18">
        <v>26487.38</v>
      </c>
      <c r="I539" s="18"/>
      <c r="J539" s="18"/>
      <c r="K539" s="18"/>
      <c r="L539" s="88">
        <f>SUM(F539:K539)</f>
        <v>26487.38</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80264.790000000008</v>
      </c>
      <c r="I540" s="89">
        <f t="shared" si="39"/>
        <v>0</v>
      </c>
      <c r="J540" s="89">
        <f t="shared" si="39"/>
        <v>0</v>
      </c>
      <c r="K540" s="89">
        <f t="shared" si="39"/>
        <v>0</v>
      </c>
      <c r="L540" s="89">
        <f t="shared" si="39"/>
        <v>80264.790000000008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291029.07</v>
      </c>
      <c r="I542" s="18"/>
      <c r="J542" s="18"/>
      <c r="K542" s="18"/>
      <c r="L542" s="88">
        <f>SUM(F542:K542)</f>
        <v>291029.07</v>
      </c>
      <c r="M542" s="8"/>
      <c r="N542" s="266"/>
    </row>
    <row r="543" spans="1:14" s="3" customFormat="1" ht="12.2" customHeight="1" x14ac:dyDescent="0.15">
      <c r="A543" s="22" t="s">
        <v>634</v>
      </c>
      <c r="B543" s="105">
        <v>21</v>
      </c>
      <c r="C543" s="105">
        <v>18</v>
      </c>
      <c r="D543" s="2" t="s">
        <v>432</v>
      </c>
      <c r="E543" s="105"/>
      <c r="F543" s="18"/>
      <c r="G543" s="18"/>
      <c r="H543" s="18">
        <v>301635.55</v>
      </c>
      <c r="I543" s="18"/>
      <c r="J543" s="18"/>
      <c r="K543" s="18"/>
      <c r="L543" s="88">
        <f>SUM(F543:K543)</f>
        <v>301635.55</v>
      </c>
      <c r="M543" s="8"/>
      <c r="N543" s="266"/>
    </row>
    <row r="544" spans="1:14" s="3" customFormat="1" ht="12.2" customHeight="1" thickBot="1" x14ac:dyDescent="0.2">
      <c r="A544" s="22" t="s">
        <v>635</v>
      </c>
      <c r="B544" s="105">
        <v>21</v>
      </c>
      <c r="C544" s="105">
        <v>19</v>
      </c>
      <c r="D544" s="2" t="s">
        <v>432</v>
      </c>
      <c r="E544" s="105"/>
      <c r="F544" s="18"/>
      <c r="G544" s="18"/>
      <c r="H544" s="18">
        <v>372306.33</v>
      </c>
      <c r="I544" s="18"/>
      <c r="J544" s="18"/>
      <c r="K544" s="18"/>
      <c r="L544" s="88">
        <f>SUM(F544:K544)</f>
        <v>372306.33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964970.95</v>
      </c>
      <c r="I545" s="193">
        <f t="shared" si="40"/>
        <v>0</v>
      </c>
      <c r="J545" s="193">
        <f t="shared" si="40"/>
        <v>0</v>
      </c>
      <c r="K545" s="193">
        <f t="shared" si="40"/>
        <v>0</v>
      </c>
      <c r="L545" s="193">
        <f t="shared" si="40"/>
        <v>964970.95</v>
      </c>
      <c r="M545" s="8"/>
      <c r="N545" s="266"/>
    </row>
    <row r="546" spans="1:14" s="3" customFormat="1" ht="12.2" customHeight="1" thickTop="1" x14ac:dyDescent="0.15">
      <c r="A546" s="98" t="s">
        <v>72</v>
      </c>
      <c r="B546" s="107">
        <v>21</v>
      </c>
      <c r="C546" s="107">
        <v>21</v>
      </c>
      <c r="D546" s="158" t="s">
        <v>432</v>
      </c>
      <c r="E546" s="107"/>
      <c r="F546" s="89">
        <f>F525+F530+F535+F540+F545</f>
        <v>8416590.7299999986</v>
      </c>
      <c r="G546" s="89">
        <f t="shared" ref="G546:L546" si="41">G525+G530+G535+G540+G545</f>
        <v>3207271.46</v>
      </c>
      <c r="H546" s="89">
        <f t="shared" si="41"/>
        <v>7161669.7000000002</v>
      </c>
      <c r="I546" s="89">
        <f t="shared" si="41"/>
        <v>33555.120000000003</v>
      </c>
      <c r="J546" s="89">
        <f t="shared" si="41"/>
        <v>0</v>
      </c>
      <c r="K546" s="89">
        <f t="shared" si="41"/>
        <v>439784.28</v>
      </c>
      <c r="L546" s="89">
        <f t="shared" si="41"/>
        <v>19258871.289999999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7819024.4500000002</v>
      </c>
      <c r="G550" s="87">
        <f>L527</f>
        <v>1597873.8199999998</v>
      </c>
      <c r="H550" s="87">
        <f>L532</f>
        <v>462185.27</v>
      </c>
      <c r="I550" s="87">
        <f>L537</f>
        <v>36119.160000000003</v>
      </c>
      <c r="J550" s="87">
        <f>L542</f>
        <v>291029.07</v>
      </c>
      <c r="K550" s="87">
        <f>SUM(F550:J550)</f>
        <v>10206231.77</v>
      </c>
      <c r="L550" s="24" t="s">
        <v>288</v>
      </c>
      <c r="M550" s="8"/>
      <c r="N550" s="266"/>
    </row>
    <row r="551" spans="1:14" s="3" customFormat="1" ht="12.2" customHeight="1" x14ac:dyDescent="0.15">
      <c r="A551" s="22" t="s">
        <v>634</v>
      </c>
      <c r="B551" s="75">
        <v>21</v>
      </c>
      <c r="C551" s="75">
        <v>23</v>
      </c>
      <c r="D551" s="2" t="s">
        <v>432</v>
      </c>
      <c r="E551" s="75"/>
      <c r="F551" s="87">
        <f>L523</f>
        <v>3083125.1599999997</v>
      </c>
      <c r="G551" s="87">
        <f>L528</f>
        <v>606286.37</v>
      </c>
      <c r="H551" s="87">
        <f>L533</f>
        <v>225957.22999999998</v>
      </c>
      <c r="I551" s="87">
        <f>L538</f>
        <v>17658.25</v>
      </c>
      <c r="J551" s="87">
        <f>L543</f>
        <v>301635.55</v>
      </c>
      <c r="K551" s="87">
        <f>SUM(F551:J551)</f>
        <v>4234662.5599999996</v>
      </c>
      <c r="L551" s="24" t="s">
        <v>288</v>
      </c>
      <c r="M551" s="8"/>
      <c r="N551" s="266"/>
    </row>
    <row r="552" spans="1:14" s="3" customFormat="1" ht="12.2" customHeight="1" thickBot="1" x14ac:dyDescent="0.2">
      <c r="A552" s="22" t="s">
        <v>635</v>
      </c>
      <c r="B552" s="75">
        <v>21</v>
      </c>
      <c r="C552" s="75">
        <v>24</v>
      </c>
      <c r="D552" s="2" t="s">
        <v>432</v>
      </c>
      <c r="E552" s="75"/>
      <c r="F552" s="87">
        <f>L524</f>
        <v>3270362.62</v>
      </c>
      <c r="G552" s="87">
        <f>L529</f>
        <v>809459.9</v>
      </c>
      <c r="H552" s="87">
        <f>L534</f>
        <v>339360.73</v>
      </c>
      <c r="I552" s="87">
        <f>L539</f>
        <v>26487.38</v>
      </c>
      <c r="J552" s="87">
        <f>L544</f>
        <v>372306.33</v>
      </c>
      <c r="K552" s="87">
        <f>SUM(F552:J552)</f>
        <v>4817976.96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14172512.23</v>
      </c>
      <c r="G553" s="89">
        <f t="shared" si="42"/>
        <v>3013620.09</v>
      </c>
      <c r="H553" s="89">
        <f t="shared" si="42"/>
        <v>1027503.23</v>
      </c>
      <c r="I553" s="89">
        <f t="shared" si="42"/>
        <v>80264.790000000008</v>
      </c>
      <c r="J553" s="89">
        <f t="shared" si="42"/>
        <v>964970.95</v>
      </c>
      <c r="K553" s="89">
        <f t="shared" si="42"/>
        <v>19258871.289999999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314789.96000000002</v>
      </c>
      <c r="G558" s="18">
        <v>105527.8</v>
      </c>
      <c r="H558" s="18">
        <v>32155.01</v>
      </c>
      <c r="I558" s="18">
        <v>101812.42</v>
      </c>
      <c r="J558" s="18">
        <v>1195.55</v>
      </c>
      <c r="K558" s="18">
        <v>22095.09</v>
      </c>
      <c r="L558" s="88">
        <f>SUM(F558:K558)</f>
        <v>577575.83000000007</v>
      </c>
      <c r="M558" s="8"/>
      <c r="N558" s="266"/>
    </row>
    <row r="559" spans="1:14" s="3" customFormat="1" ht="12.2" customHeight="1" x14ac:dyDescent="0.15">
      <c r="A559" s="22" t="s">
        <v>634</v>
      </c>
      <c r="B559" s="105">
        <v>22</v>
      </c>
      <c r="C559" s="115">
        <v>2</v>
      </c>
      <c r="D559" s="2" t="s">
        <v>432</v>
      </c>
      <c r="E559" s="115"/>
      <c r="F559" s="18">
        <v>153897.31</v>
      </c>
      <c r="G559" s="18">
        <v>51591.37</v>
      </c>
      <c r="H559" s="18">
        <v>15720.23</v>
      </c>
      <c r="I559" s="18">
        <v>49774.96</v>
      </c>
      <c r="J559" s="18">
        <v>584.49</v>
      </c>
      <c r="K559" s="18">
        <v>10802.04</v>
      </c>
      <c r="L559" s="88">
        <f>SUM(F559:K559)</f>
        <v>282370.39999999997</v>
      </c>
      <c r="M559" s="8"/>
      <c r="N559" s="266"/>
    </row>
    <row r="560" spans="1:14" s="3" customFormat="1" ht="12.2" customHeight="1" thickBot="1" x14ac:dyDescent="0.2">
      <c r="A560" s="22" t="s">
        <v>635</v>
      </c>
      <c r="B560" s="105">
        <v>22</v>
      </c>
      <c r="C560" s="115">
        <v>3</v>
      </c>
      <c r="D560" s="2" t="s">
        <v>432</v>
      </c>
      <c r="E560" s="115"/>
      <c r="F560" s="18">
        <v>230845.97</v>
      </c>
      <c r="G560" s="18">
        <v>77387.05</v>
      </c>
      <c r="H560" s="18">
        <v>23580.35</v>
      </c>
      <c r="I560" s="18">
        <v>74662.44</v>
      </c>
      <c r="J560" s="18">
        <v>876.73</v>
      </c>
      <c r="K560" s="18">
        <v>16203.07</v>
      </c>
      <c r="L560" s="88">
        <f>SUM(F560:K560)</f>
        <v>423555.61</v>
      </c>
      <c r="M560" s="8"/>
      <c r="N560" s="266"/>
    </row>
    <row r="561" spans="1:14" s="3" customFormat="1" ht="12.2" customHeight="1" thickTop="1" x14ac:dyDescent="0.15">
      <c r="A561" s="139" t="s">
        <v>63</v>
      </c>
      <c r="B561" s="107">
        <v>22</v>
      </c>
      <c r="C561" s="195">
        <v>4</v>
      </c>
      <c r="D561" s="196" t="s">
        <v>432</v>
      </c>
      <c r="E561" s="195"/>
      <c r="F561" s="108">
        <f t="shared" ref="F561:L561" si="43">SUM(F558:F560)</f>
        <v>699533.24</v>
      </c>
      <c r="G561" s="108">
        <f t="shared" si="43"/>
        <v>234506.22000000003</v>
      </c>
      <c r="H561" s="108">
        <f t="shared" si="43"/>
        <v>71455.59</v>
      </c>
      <c r="I561" s="108">
        <f t="shared" si="43"/>
        <v>226249.82</v>
      </c>
      <c r="J561" s="108">
        <f t="shared" si="43"/>
        <v>2656.77</v>
      </c>
      <c r="K561" s="108">
        <f t="shared" si="43"/>
        <v>49100.200000000004</v>
      </c>
      <c r="L561" s="89">
        <f t="shared" si="43"/>
        <v>1283501.8399999999</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699533.24</v>
      </c>
      <c r="G572" s="89">
        <f t="shared" ref="G572:L572" si="46">G561+G566+G571</f>
        <v>234506.22000000003</v>
      </c>
      <c r="H572" s="89">
        <f t="shared" si="46"/>
        <v>71455.59</v>
      </c>
      <c r="I572" s="89">
        <f t="shared" si="46"/>
        <v>226249.82</v>
      </c>
      <c r="J572" s="89">
        <f t="shared" si="46"/>
        <v>2656.77</v>
      </c>
      <c r="K572" s="89">
        <f t="shared" si="46"/>
        <v>49100.200000000004</v>
      </c>
      <c r="L572" s="89">
        <f t="shared" si="46"/>
        <v>1283501.8399999999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584920.98</v>
      </c>
      <c r="G580" s="18">
        <v>469287.27</v>
      </c>
      <c r="H580" s="18">
        <v>537662.12</v>
      </c>
      <c r="I580" s="87">
        <f t="shared" si="47"/>
        <v>1591870.37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365998.85</v>
      </c>
      <c r="G583" s="18">
        <v>621532.05000000005</v>
      </c>
      <c r="H583" s="18">
        <v>1277376</v>
      </c>
      <c r="I583" s="87">
        <f t="shared" si="47"/>
        <v>2264906.9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462504.97</v>
      </c>
      <c r="I592" s="18">
        <v>226113.54</v>
      </c>
      <c r="J592" s="18">
        <v>339170.31</v>
      </c>
      <c r="K592" s="104">
        <f t="shared" ref="K592:K598" si="48">SUM(H592:J592)</f>
        <v>1027788.8200000001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291029.07</v>
      </c>
      <c r="I593" s="18">
        <v>301635.55</v>
      </c>
      <c r="J593" s="18">
        <v>372306.33</v>
      </c>
      <c r="K593" s="104">
        <f t="shared" si="48"/>
        <v>964970.95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36950.660000000003</v>
      </c>
      <c r="K594" s="104">
        <f t="shared" si="48"/>
        <v>36950.660000000003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8202.7999999999993</v>
      </c>
      <c r="J595" s="18">
        <v>62882.75</v>
      </c>
      <c r="K595" s="104">
        <f t="shared" si="48"/>
        <v>71085.55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900</v>
      </c>
      <c r="J596" s="18">
        <v>4828.26</v>
      </c>
      <c r="K596" s="104">
        <f t="shared" si="48"/>
        <v>5728.26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753534.04</v>
      </c>
      <c r="I599" s="108">
        <f>SUM(I592:I598)</f>
        <v>536851.89</v>
      </c>
      <c r="J599" s="108">
        <f>SUM(J592:J598)</f>
        <v>816138.31</v>
      </c>
      <c r="K599" s="108">
        <f>SUM(K592:K598)</f>
        <v>2106524.2399999998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117816.8</v>
      </c>
      <c r="I605" s="18">
        <v>62735.87</v>
      </c>
      <c r="J605" s="18">
        <v>183255.98</v>
      </c>
      <c r="K605" s="104">
        <f>SUM(H605:J605)</f>
        <v>363808.65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117816.8</v>
      </c>
      <c r="I606" s="108">
        <f>SUM(I603:I605)</f>
        <v>62735.87</v>
      </c>
      <c r="J606" s="108">
        <f>SUM(J603:J605)</f>
        <v>183255.98</v>
      </c>
      <c r="K606" s="108">
        <f>SUM(K603:K605)</f>
        <v>363808.65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v>18246.25</v>
      </c>
      <c r="G613" s="18">
        <v>4697.54</v>
      </c>
      <c r="H613" s="18"/>
      <c r="I613" s="18"/>
      <c r="J613" s="18"/>
      <c r="K613" s="18"/>
      <c r="L613" s="88">
        <f>SUM(F613:K613)</f>
        <v>22943.79</v>
      </c>
      <c r="M613" s="8"/>
      <c r="N613" s="266"/>
    </row>
    <row r="614" spans="1:14" s="3" customFormat="1" ht="12.2" customHeight="1" thickBot="1" x14ac:dyDescent="0.2">
      <c r="A614" s="22" t="s">
        <v>645</v>
      </c>
      <c r="B614" s="75">
        <v>23</v>
      </c>
      <c r="C614" s="75">
        <v>15</v>
      </c>
      <c r="D614" s="2" t="s">
        <v>432</v>
      </c>
      <c r="E614" s="75"/>
      <c r="F614" s="18">
        <v>17355.75</v>
      </c>
      <c r="G614" s="18">
        <v>4561.41</v>
      </c>
      <c r="H614" s="18"/>
      <c r="I614" s="18"/>
      <c r="J614" s="18"/>
      <c r="K614" s="18"/>
      <c r="L614" s="88">
        <f>SUM(F614:K614)</f>
        <v>21917.16</v>
      </c>
      <c r="M614" s="8"/>
      <c r="N614" s="266"/>
    </row>
    <row r="615" spans="1:14" s="3" customFormat="1" ht="12.2" customHeight="1" thickTop="1" x14ac:dyDescent="0.15">
      <c r="A615" s="98" t="s">
        <v>340</v>
      </c>
      <c r="B615" s="107">
        <v>23</v>
      </c>
      <c r="C615" s="107">
        <v>16</v>
      </c>
      <c r="D615" s="39" t="s">
        <v>432</v>
      </c>
      <c r="E615" s="107"/>
      <c r="F615" s="108">
        <f t="shared" ref="F615:L615" si="49">SUM(F612:F614)</f>
        <v>35602</v>
      </c>
      <c r="G615" s="108">
        <f t="shared" si="49"/>
        <v>9258.9500000000007</v>
      </c>
      <c r="H615" s="108">
        <f t="shared" si="49"/>
        <v>0</v>
      </c>
      <c r="I615" s="108">
        <f t="shared" si="49"/>
        <v>0</v>
      </c>
      <c r="J615" s="108">
        <f t="shared" si="49"/>
        <v>0</v>
      </c>
      <c r="K615" s="108">
        <f t="shared" si="49"/>
        <v>0</v>
      </c>
      <c r="L615" s="89">
        <f t="shared" si="49"/>
        <v>44860.95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75564.56</v>
      </c>
      <c r="H619" s="109">
        <f>SUM(G52)</f>
        <v>75564.56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585879.46</v>
      </c>
      <c r="H620" s="109">
        <f>SUM(H52)</f>
        <v>585879.46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1293352.31</v>
      </c>
      <c r="H621" s="109">
        <f>SUM(I52)</f>
        <v>1293352.31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21904.99</v>
      </c>
      <c r="H624" s="109">
        <f>G477</f>
        <v>21904.989999999991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1293352.31</v>
      </c>
      <c r="H626" s="109">
        <f>I477</f>
        <v>1293352.3100000003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65474949.999999993</v>
      </c>
      <c r="H628" s="104">
        <f>SUM(F469)</f>
        <v>65474950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1674095.52</v>
      </c>
      <c r="H629" s="104">
        <f>SUM(G469)</f>
        <v>1674095.52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3275499.29</v>
      </c>
      <c r="H630" s="104">
        <f>SUM(H469)</f>
        <v>3275499.29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1293352.31</v>
      </c>
      <c r="H631" s="104">
        <f>SUM(I469)</f>
        <v>1293352.31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63502384.339999996</v>
      </c>
      <c r="H633" s="104">
        <f>SUM(F473)</f>
        <v>63502384.340000004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3275499.29</v>
      </c>
      <c r="H634" s="104">
        <f>SUM(H473)</f>
        <v>3275499.29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539110.1</v>
      </c>
      <c r="H635" s="104">
        <f>I370</f>
        <v>539110.1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1674095.52</v>
      </c>
      <c r="H636" s="104">
        <f>SUM(G473)</f>
        <v>1674095.52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1607049.55</v>
      </c>
      <c r="H637" s="104">
        <f>SUM(I473)</f>
        <v>1607049.55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2106524.2399999998</v>
      </c>
      <c r="H648" s="104">
        <f>L209+L227+L245</f>
        <v>2106524.2400000002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363808.65</v>
      </c>
      <c r="H649" s="104">
        <f>(J258+J339)-(J256+J337)</f>
        <v>363808.65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753534.04</v>
      </c>
      <c r="H650" s="104">
        <f>H599</f>
        <v>753534.04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536851.89</v>
      </c>
      <c r="H651" s="104">
        <f>I599</f>
        <v>536851.89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816138.31</v>
      </c>
      <c r="H652" s="104">
        <f>J599</f>
        <v>816138.31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348724.31</v>
      </c>
      <c r="H653" s="104">
        <f>K264+K346</f>
        <v>348724.31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30523271.59</v>
      </c>
      <c r="G661" s="19">
        <f>(L230+L310+L360)</f>
        <v>14137727.249999998</v>
      </c>
      <c r="H661" s="19">
        <f>(L248+L329+L361)</f>
        <v>21029740.749999996</v>
      </c>
      <c r="I661" s="19">
        <f>SUM(F661:H661)</f>
        <v>65690739.589999989</v>
      </c>
      <c r="J661" s="13"/>
      <c r="K661" s="13"/>
      <c r="L661" s="13"/>
      <c r="M661" s="9"/>
    </row>
    <row r="662" spans="1:13" s="3" customFormat="1" ht="12.2" customHeight="1" x14ac:dyDescent="0.2">
      <c r="A662" s="1" t="s">
        <v>127</v>
      </c>
      <c r="F662" s="19">
        <f>(L359/IF(SUM(L359:L361)=0,1,SUM(L359:L361))*(SUM(G97:G110)))</f>
        <v>252208.99839533502</v>
      </c>
      <c r="G662" s="19">
        <f>(L360/IF(SUM(L359:L361)=0,1,SUM(L359:L361))*(SUM(G97:G110)))</f>
        <v>90371.06740290123</v>
      </c>
      <c r="H662" s="19">
        <f>(L361/IF(SUM(L359:L361)=0,1,SUM(L359:L361))*(SUM(G97:G110)))</f>
        <v>154470.18420176377</v>
      </c>
      <c r="I662" s="19">
        <f>SUM(F662:H662)</f>
        <v>497050.25</v>
      </c>
      <c r="J662"/>
      <c r="K662" s="13"/>
      <c r="L662" s="13"/>
      <c r="M662" s="8"/>
    </row>
    <row r="663" spans="1:13" s="3" customFormat="1" ht="12.2" customHeight="1" x14ac:dyDescent="0.2">
      <c r="A663" s="1" t="s">
        <v>128</v>
      </c>
      <c r="F663" s="19">
        <f>(L209+L288)-(J209+J288)</f>
        <v>780391.84000000008</v>
      </c>
      <c r="G663" s="19">
        <f>(L227+L307)-(J227+J307)</f>
        <v>549982.37</v>
      </c>
      <c r="H663" s="19">
        <f>(L245+L326)-(J245+J326)</f>
        <v>835834.03</v>
      </c>
      <c r="I663" s="19">
        <f>SUM(F663:H663)</f>
        <v>2166208.2400000002</v>
      </c>
      <c r="J663"/>
      <c r="K663" s="13"/>
      <c r="L663" s="13"/>
      <c r="M663" s="9"/>
    </row>
    <row r="664" spans="1:13" s="3" customFormat="1" ht="12.2" customHeight="1" x14ac:dyDescent="0.15">
      <c r="A664" s="198" t="s">
        <v>129</v>
      </c>
      <c r="B664" s="169"/>
      <c r="C664" s="169"/>
      <c r="D664" s="169"/>
      <c r="E664" s="169"/>
      <c r="F664" s="199">
        <f>SUM(F576:F588)+SUM(H603:H605)+SUM(L612)</f>
        <v>1068736.6299999999</v>
      </c>
      <c r="G664" s="199">
        <f>SUM(G576:G588)+SUM(I603:I605)+L613</f>
        <v>1176498.9800000002</v>
      </c>
      <c r="H664" s="199">
        <f>SUM(H576:H588)+SUM(J603:J605)+L614</f>
        <v>2020211.26</v>
      </c>
      <c r="I664" s="19">
        <f>SUM(F664:H664)</f>
        <v>4265446.87</v>
      </c>
      <c r="J664" s="13"/>
      <c r="K664" s="13"/>
      <c r="L664" s="13"/>
      <c r="M664" s="9"/>
    </row>
    <row r="665" spans="1:13" s="3" customFormat="1" ht="12.2" customHeight="1" x14ac:dyDescent="0.15">
      <c r="A665" s="1" t="s">
        <v>130</v>
      </c>
      <c r="F665" s="19">
        <f>F661-SUM(F662:F664)</f>
        <v>28421934.121604666</v>
      </c>
      <c r="G665" s="19">
        <f>G661-SUM(G662:G664)</f>
        <v>12320874.832597097</v>
      </c>
      <c r="H665" s="19">
        <f>H661-SUM(H662:H664)</f>
        <v>18019225.275798231</v>
      </c>
      <c r="I665" s="19">
        <f>I661-SUM(I662:I664)</f>
        <v>58762034.229999989</v>
      </c>
      <c r="J665" s="13"/>
      <c r="K665" s="13"/>
      <c r="L665" s="13"/>
      <c r="M665" s="8"/>
    </row>
    <row r="666" spans="1:13" s="3" customFormat="1" ht="12.2" customHeight="1" x14ac:dyDescent="0.2">
      <c r="A666" s="1" t="s">
        <v>131</v>
      </c>
      <c r="F666" s="246">
        <f>26.46+309.28+1522.65</f>
        <v>1858.39</v>
      </c>
      <c r="G666" s="247">
        <v>919.52</v>
      </c>
      <c r="H666" s="247">
        <v>1348.49</v>
      </c>
      <c r="I666" s="19">
        <f>SUM(F666:H666)</f>
        <v>4126.3999999999996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15293.85</v>
      </c>
      <c r="G668" s="19">
        <f>ROUND(G665/G666,2)</f>
        <v>13399.25</v>
      </c>
      <c r="H668" s="19">
        <f>ROUND(H665/H666,2)</f>
        <v>13362.52</v>
      </c>
      <c r="I668" s="19">
        <f>ROUND(I665/I666,2)</f>
        <v>14240.51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-14.77</v>
      </c>
      <c r="I671" s="19">
        <f>SUM(F671:H671)</f>
        <v>-14.77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15293.85</v>
      </c>
      <c r="G673" s="19">
        <f>ROUND((G665+G670)/(G666+G671),2)</f>
        <v>13399.25</v>
      </c>
      <c r="H673" s="19">
        <f>ROUND((H665+H670)/(H666+H671),2)</f>
        <v>13510.5</v>
      </c>
      <c r="I673" s="19">
        <f>ROUND((I665+I670)/(I666+I671),2)</f>
        <v>14291.66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7"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 xml:space="preserve">Rochester </v>
      </c>
      <c r="C5" s="345"/>
      <c r="D5" s="345"/>
      <c r="E5" s="345"/>
      <c r="F5" s="345"/>
    </row>
    <row r="8" spans="1:9" ht="18" x14ac:dyDescent="0.25">
      <c r="A8" s="323" t="s">
        <v>1591</v>
      </c>
      <c r="F8" s="330" t="s">
        <v>1609</v>
      </c>
    </row>
    <row r="9" spans="1:9" ht="15" x14ac:dyDescent="0.2">
      <c r="A9" s="321" t="s">
        <v>1592</v>
      </c>
      <c r="B9" s="324">
        <f>'DOE25'!G97</f>
        <v>497050.25</v>
      </c>
      <c r="F9" s="321" t="s">
        <v>1605</v>
      </c>
    </row>
    <row r="10" spans="1:9" ht="15" x14ac:dyDescent="0.2">
      <c r="A10" s="321" t="s">
        <v>1593</v>
      </c>
      <c r="B10" s="324">
        <f>'DOE25'!G112-'DOE25'!G97</f>
        <v>0</v>
      </c>
      <c r="F10" s="321" t="s">
        <v>1606</v>
      </c>
    </row>
    <row r="11" spans="1:9" ht="15" x14ac:dyDescent="0.2">
      <c r="A11" s="321" t="s">
        <v>1594</v>
      </c>
      <c r="B11" s="324">
        <f>'DOE25'!G140</f>
        <v>80636.760000000009</v>
      </c>
      <c r="F11" s="321" t="s">
        <v>1607</v>
      </c>
    </row>
    <row r="12" spans="1:9" ht="15" x14ac:dyDescent="0.2">
      <c r="A12" s="321" t="s">
        <v>1595</v>
      </c>
      <c r="B12" s="324">
        <f>'DOE25'!G170</f>
        <v>747684.2</v>
      </c>
      <c r="F12" s="321" t="s">
        <v>1608</v>
      </c>
    </row>
    <row r="13" spans="1:9" ht="15" x14ac:dyDescent="0.2">
      <c r="A13" s="321" t="s">
        <v>1596</v>
      </c>
      <c r="B13" s="324">
        <f>'DOE25'!G193-'DOE25'!G180</f>
        <v>0</v>
      </c>
      <c r="F13" s="321" t="s">
        <v>1618</v>
      </c>
    </row>
    <row r="14" spans="1:9" ht="18" x14ac:dyDescent="0.25">
      <c r="A14" s="323" t="s">
        <v>732</v>
      </c>
      <c r="B14" s="325">
        <f>SUM(B9:B13)</f>
        <v>1325371.21</v>
      </c>
    </row>
    <row r="16" spans="1:9" ht="18" x14ac:dyDescent="0.25">
      <c r="A16" s="323" t="s">
        <v>786</v>
      </c>
      <c r="F16" s="330" t="s">
        <v>1610</v>
      </c>
    </row>
    <row r="17" spans="1:6" ht="15" x14ac:dyDescent="0.2">
      <c r="A17" s="321" t="s">
        <v>1597</v>
      </c>
      <c r="B17" s="324">
        <f>'DOE25'!L363-'DOE25'!L362</f>
        <v>1674095.52</v>
      </c>
      <c r="F17" s="321" t="s">
        <v>1611</v>
      </c>
    </row>
    <row r="18" spans="1:6" ht="15" x14ac:dyDescent="0.2">
      <c r="A18" s="321" t="s">
        <v>1598</v>
      </c>
      <c r="B18" s="338"/>
      <c r="F18" s="330" t="s">
        <v>1637</v>
      </c>
    </row>
    <row r="19" spans="1:6" ht="18" x14ac:dyDescent="0.25">
      <c r="A19" s="323" t="s">
        <v>725</v>
      </c>
      <c r="B19" s="325">
        <f>SUM(B17:B18)</f>
        <v>1674095.52</v>
      </c>
    </row>
    <row r="21" spans="1:6" ht="18.75" thickBot="1" x14ac:dyDescent="0.3">
      <c r="A21" s="323" t="s">
        <v>1599</v>
      </c>
    </row>
    <row r="22" spans="1:6" ht="18.75" thickTop="1" x14ac:dyDescent="0.25">
      <c r="A22" s="323" t="s">
        <v>1600</v>
      </c>
      <c r="B22" s="329">
        <f>B14-B19</f>
        <v>-348724.31000000006</v>
      </c>
      <c r="F22" s="321" t="s">
        <v>1612</v>
      </c>
    </row>
    <row r="26" spans="1:6" ht="18" x14ac:dyDescent="0.25">
      <c r="A26" s="323" t="s">
        <v>186</v>
      </c>
    </row>
    <row r="27" spans="1:6" ht="15" x14ac:dyDescent="0.2">
      <c r="A27" s="321" t="s">
        <v>1601</v>
      </c>
      <c r="B27" s="324">
        <f>'DOE25'!G180</f>
        <v>348724.31</v>
      </c>
      <c r="F27" s="321" t="s">
        <v>1613</v>
      </c>
    </row>
    <row r="28" spans="1:6" ht="15" x14ac:dyDescent="0.2">
      <c r="A28" s="321" t="s">
        <v>1603</v>
      </c>
      <c r="B28" s="324">
        <f>'DOE25'!L362</f>
        <v>0</v>
      </c>
      <c r="F28" s="321" t="s">
        <v>1614</v>
      </c>
    </row>
    <row r="31" spans="1:6" ht="15" x14ac:dyDescent="0.2">
      <c r="A31" s="321" t="s">
        <v>1640</v>
      </c>
      <c r="B31" s="324">
        <f>'DOE25'!G466</f>
        <v>19988</v>
      </c>
      <c r="F31" s="321" t="s">
        <v>1615</v>
      </c>
    </row>
    <row r="33" spans="1:6" ht="15" x14ac:dyDescent="0.2">
      <c r="A33" s="321" t="s">
        <v>1641</v>
      </c>
      <c r="B33" s="324">
        <f>'DOE25'!G477</f>
        <v>21904.989999999991</v>
      </c>
      <c r="F33" s="321" t="s">
        <v>1616</v>
      </c>
    </row>
    <row r="36" spans="1:6" ht="15" x14ac:dyDescent="0.2">
      <c r="A36" s="321" t="s">
        <v>1602</v>
      </c>
      <c r="B36" s="339">
        <v>99227.33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Rochester </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16535061.51</v>
      </c>
      <c r="C9" s="229">
        <f>'DOE25'!G198+'DOE25'!G216+'DOE25'!G234+'DOE25'!G277+'DOE25'!G296+'DOE25'!G315</f>
        <v>7189945.4500000011</v>
      </c>
    </row>
    <row r="10" spans="1:3" x14ac:dyDescent="0.2">
      <c r="A10" t="s">
        <v>775</v>
      </c>
      <c r="B10" s="240">
        <f>437568.89+0.01+260743.87+6704234.72+3718289.86+4397233.19+31937.24-0.14</f>
        <v>15550007.639999999</v>
      </c>
      <c r="C10" s="240">
        <f>64866.76+1203.4+101+36706.39+68173.78+2340.57-4656.76-232.37+0.02+48113.52+808.32+42.68+18536.41+39285.54+8034.61+1594583.86+22366.68+1378.64+520818.58+1186631.29+19106.57+687264.42+11570.07+732.41+275659.56+663096.72+11466.17+758853.81+13573.41+853.65+334225.73+755239.95+11158.8-48382.84-22084.65-300000</f>
        <v>6781436.7000000011</v>
      </c>
    </row>
    <row r="11" spans="1:3" x14ac:dyDescent="0.2">
      <c r="A11" t="s">
        <v>776</v>
      </c>
      <c r="B11" s="240">
        <f>60872.68+504003.86+22537.92+105913.61</f>
        <v>693328.07000000007</v>
      </c>
      <c r="C11" s="240">
        <f>4656.76+26606.74+6029.43+48382.84+300000</f>
        <v>385675.77</v>
      </c>
    </row>
    <row r="12" spans="1:3" x14ac:dyDescent="0.2">
      <c r="A12" t="s">
        <v>777</v>
      </c>
      <c r="B12" s="240">
        <f>3037.5+114987.75+72900.07+100800.48</f>
        <v>291725.8</v>
      </c>
      <c r="C12" s="240">
        <f>232.37+515.96+22084.65</f>
        <v>22832.980000000003</v>
      </c>
    </row>
    <row r="13" spans="1:3" x14ac:dyDescent="0.2">
      <c r="A13" t="str">
        <f>IF(B9=B13,IF(C9=C13,"Check Total OK","Check Total Error"),"Check Total Error")</f>
        <v>Check Total OK</v>
      </c>
      <c r="B13" s="231">
        <f>SUM(B10:B12)</f>
        <v>16535061.51</v>
      </c>
      <c r="C13" s="231">
        <f>SUM(C10:C12)</f>
        <v>7189945.4500000011</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8215118.6400000006</v>
      </c>
      <c r="C18" s="229">
        <f>'DOE25'!G199+'DOE25'!G217+'DOE25'!G235+'DOE25'!G278+'DOE25'!G297+'DOE25'!G316</f>
        <v>3088595.2800000003</v>
      </c>
    </row>
    <row r="19" spans="1:3" x14ac:dyDescent="0.2">
      <c r="A19" t="s">
        <v>775</v>
      </c>
      <c r="B19" s="240">
        <f>525247.45+19697.6+228436.88+3213969.4+848132.14+401379.28+0.01</f>
        <v>5236862.76</v>
      </c>
      <c r="C19" s="240">
        <f>6589.45+70.74+3.78+1410.14+3506.17+84.5+119878.67+1572.54+215.18+52529.71+93494.58+2479.44-65028.95+33732.34+1031.96+585645.52+11539.41+150654.22+3468.51+71478.93+3353.86+58572.96+808.32+43.2+19165.78-12948.7-131401.98+731223.4+12083.67+838.02+359365.78+289578.74+4453.01+299.7+93764.11+212663.73+3396.28+253.11+67066.83-50000-700000</f>
        <v>2036936.6600000001</v>
      </c>
    </row>
    <row r="20" spans="1:3" x14ac:dyDescent="0.2">
      <c r="A20" t="s">
        <v>776</v>
      </c>
      <c r="B20" s="240">
        <f>196456.81+47947.5+1439485.08+208615.8+396245.09+21099.37+450331.35+48810.83</f>
        <v>2808991.8300000005</v>
      </c>
      <c r="C20" s="240">
        <f>15028.95+50000+6473.17+3087.09+32389.36+27229.44+22985.25+131401.98+500000+200000</f>
        <v>988595.24</v>
      </c>
    </row>
    <row r="21" spans="1:3" x14ac:dyDescent="0.2">
      <c r="A21" t="s">
        <v>777</v>
      </c>
      <c r="B21" s="240">
        <f>21094.43+15709.64+38122.06+22397.9+2366.8+69573.22</f>
        <v>169264.05</v>
      </c>
      <c r="C21" s="240">
        <f>12948.7+114.68+50000</f>
        <v>63063.380000000005</v>
      </c>
    </row>
    <row r="22" spans="1:3" x14ac:dyDescent="0.2">
      <c r="A22" t="str">
        <f>IF(B18=B22,IF(C18=C22,"Check Total OK","Check Total Error"),"Check Total Error")</f>
        <v>Check Total OK</v>
      </c>
      <c r="B22" s="231">
        <f>SUM(B19:B21)</f>
        <v>8215118.6399999997</v>
      </c>
      <c r="C22" s="231">
        <f>SUM(C19:C21)</f>
        <v>3088595.2800000003</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1147776.3600000001</v>
      </c>
      <c r="C27" s="234">
        <f>'DOE25'!G200+'DOE25'!G218+'DOE25'!G236+'DOE25'!G279+'DOE25'!G298+'DOE25'!G317</f>
        <v>425720.52</v>
      </c>
    </row>
    <row r="28" spans="1:3" x14ac:dyDescent="0.2">
      <c r="A28" t="s">
        <v>775</v>
      </c>
      <c r="B28" s="240">
        <v>1044469.37</v>
      </c>
      <c r="C28" s="240">
        <f>160755.98+1818.72+183.6+76793.13+186169.09-419.03-7483.95</f>
        <v>417817.54</v>
      </c>
    </row>
    <row r="29" spans="1:3" x14ac:dyDescent="0.2">
      <c r="A29" t="s">
        <v>776</v>
      </c>
      <c r="B29" s="240">
        <v>97829.49</v>
      </c>
      <c r="C29" s="240">
        <v>7483.95</v>
      </c>
    </row>
    <row r="30" spans="1:3" x14ac:dyDescent="0.2">
      <c r="A30" t="s">
        <v>777</v>
      </c>
      <c r="B30" s="240">
        <v>5477.5</v>
      </c>
      <c r="C30" s="240">
        <v>419.03</v>
      </c>
    </row>
    <row r="31" spans="1:3" x14ac:dyDescent="0.2">
      <c r="A31" t="str">
        <f>IF(B27=B31,IF(C27=C31,"Check Total OK","Check Total Error"),"Check Total Error")</f>
        <v>Check Total OK</v>
      </c>
      <c r="B31" s="231">
        <f>SUM(B28:B30)</f>
        <v>1147776.3600000001</v>
      </c>
      <c r="C31" s="231">
        <f>SUM(C28:C30)</f>
        <v>425720.52</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355180.51</v>
      </c>
      <c r="C36" s="235">
        <f>'DOE25'!G201+'DOE25'!G219+'DOE25'!G237+'DOE25'!G280+'DOE25'!G299+'DOE25'!G318</f>
        <v>102400.65</v>
      </c>
    </row>
    <row r="37" spans="1:3" x14ac:dyDescent="0.2">
      <c r="A37" t="s">
        <v>775</v>
      </c>
      <c r="B37" s="240">
        <f>8761.91+839.93+189816.33+18246.25+17355.75+0.01</f>
        <v>235020.18</v>
      </c>
      <c r="C37" s="240">
        <f>833.44+1544.68+9.32+64.25+145.81-158.62+1392.37+3247.84+57.33+1327.71+3089.33+144.37+22652.88+36459.69-22223.96+19286.48</f>
        <v>67872.920000000013</v>
      </c>
    </row>
    <row r="38" spans="1:3" x14ac:dyDescent="0.2">
      <c r="A38" t="s">
        <v>776</v>
      </c>
      <c r="B38" s="240">
        <v>2073.44</v>
      </c>
      <c r="C38" s="240">
        <v>158.62</v>
      </c>
    </row>
    <row r="39" spans="1:3" x14ac:dyDescent="0.2">
      <c r="A39" t="s">
        <v>777</v>
      </c>
      <c r="B39" s="240">
        <f>90550.83+27536.06</f>
        <v>118086.89</v>
      </c>
      <c r="C39" s="240">
        <f>9033.65+13190.31+10000+2145.15</f>
        <v>34369.11</v>
      </c>
    </row>
    <row r="40" spans="1:3" x14ac:dyDescent="0.2">
      <c r="A40" t="str">
        <f>IF(B36=B40,IF(C36=C40,"Check Total OK","Check Total Error"),"Check Total Error")</f>
        <v>Check Total OK</v>
      </c>
      <c r="B40" s="231">
        <f>SUM(B37:B39)</f>
        <v>355180.51</v>
      </c>
      <c r="C40" s="231">
        <f>SUM(C37:C39)</f>
        <v>102400.65000000001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29" sqref="D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 xml:space="preserve">Rochester </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42396921.579999998</v>
      </c>
      <c r="D5" s="20">
        <f>SUM('DOE25'!L198:L201)+SUM('DOE25'!L216:L219)+SUM('DOE25'!L234:L237)-F5-G5-H5</f>
        <v>41623152.689999998</v>
      </c>
      <c r="E5" s="243"/>
      <c r="F5" s="244">
        <f>31706-25000+284500+284500-25000</f>
        <v>550706</v>
      </c>
      <c r="G5" s="53">
        <f>SUM('DOE25'!J198:J201)+SUM('DOE25'!J216:J219)+SUM('DOE25'!J234:J237)</f>
        <v>111906.32</v>
      </c>
      <c r="H5" s="53">
        <f>SUM('DOE25'!K198:K201)+SUM('DOE25'!K216:K219)+SUM('DOE25'!K234:K237)</f>
        <v>111156.57</v>
      </c>
      <c r="I5" s="256"/>
    </row>
    <row r="6" spans="1:9" x14ac:dyDescent="0.2">
      <c r="A6" s="32">
        <v>2100</v>
      </c>
      <c r="B6" t="s">
        <v>796</v>
      </c>
      <c r="C6" s="276">
        <f t="shared" si="0"/>
        <v>2536863.1</v>
      </c>
      <c r="D6" s="20">
        <f>'DOE25'!L203+'DOE25'!L221+'DOE25'!L239-F6-G6-H6</f>
        <v>2534262.3200000003</v>
      </c>
      <c r="E6" s="243"/>
      <c r="F6" s="244"/>
      <c r="G6" s="53">
        <f>'DOE25'!J203+'DOE25'!J221+'DOE25'!J239</f>
        <v>2250.7799999999997</v>
      </c>
      <c r="H6" s="53">
        <f>'DOE25'!K203+'DOE25'!K221+'DOE25'!K239</f>
        <v>350</v>
      </c>
      <c r="I6" s="256"/>
    </row>
    <row r="7" spans="1:9" x14ac:dyDescent="0.2">
      <c r="A7" s="32">
        <v>2200</v>
      </c>
      <c r="B7" t="s">
        <v>821</v>
      </c>
      <c r="C7" s="276">
        <f t="shared" si="0"/>
        <v>2580633.7599999998</v>
      </c>
      <c r="D7" s="20">
        <f>'DOE25'!L204+'DOE25'!L222+'DOE25'!L240-F7-G7-H7</f>
        <v>2236668.0499999998</v>
      </c>
      <c r="E7" s="243"/>
      <c r="F7" s="244">
        <f>105000-25000+94700-25000+63960-25000+46020.57-25000+46413.6-25000</f>
        <v>231094.17</v>
      </c>
      <c r="G7" s="53">
        <f>'DOE25'!J204+'DOE25'!J222+'DOE25'!J240</f>
        <v>111934.83</v>
      </c>
      <c r="H7" s="53">
        <f>'DOE25'!K204+'DOE25'!K222+'DOE25'!K240</f>
        <v>936.71</v>
      </c>
      <c r="I7" s="256"/>
    </row>
    <row r="8" spans="1:9" x14ac:dyDescent="0.2">
      <c r="A8" s="32">
        <v>2300</v>
      </c>
      <c r="B8" t="s">
        <v>797</v>
      </c>
      <c r="C8" s="276">
        <f t="shared" si="0"/>
        <v>1677868.84</v>
      </c>
      <c r="D8" s="243"/>
      <c r="E8" s="20">
        <f>'DOE25'!L205+'DOE25'!L223+'DOE25'!L241-F8-G8-H8-D9-D11</f>
        <v>1652586.53</v>
      </c>
      <c r="F8" s="244"/>
      <c r="G8" s="53">
        <f>'DOE25'!J205+'DOE25'!J223+'DOE25'!J241</f>
        <v>0</v>
      </c>
      <c r="H8" s="53">
        <f>'DOE25'!K205+'DOE25'!K223+'DOE25'!K241</f>
        <v>25282.31</v>
      </c>
      <c r="I8" s="256"/>
    </row>
    <row r="9" spans="1:9" ht="14.25" x14ac:dyDescent="0.2">
      <c r="A9" s="32">
        <v>2310</v>
      </c>
      <c r="B9" s="185" t="s">
        <v>890</v>
      </c>
      <c r="C9" s="276">
        <f t="shared" si="0"/>
        <v>45441.13</v>
      </c>
      <c r="D9" s="244">
        <v>45441.13</v>
      </c>
      <c r="E9" s="243"/>
      <c r="F9" s="253"/>
      <c r="G9" s="253"/>
      <c r="H9" s="253"/>
      <c r="I9" s="256"/>
    </row>
    <row r="10" spans="1:9" ht="14.25" x14ac:dyDescent="0.2">
      <c r="A10" s="32">
        <v>2317</v>
      </c>
      <c r="B10" s="185" t="s">
        <v>891</v>
      </c>
      <c r="C10" s="276">
        <f t="shared" si="0"/>
        <v>5550</v>
      </c>
      <c r="D10" s="243"/>
      <c r="E10" s="244">
        <v>5550</v>
      </c>
      <c r="F10" s="253"/>
      <c r="G10" s="253"/>
      <c r="H10" s="253"/>
      <c r="I10" s="256"/>
    </row>
    <row r="11" spans="1:9" ht="14.25" x14ac:dyDescent="0.2">
      <c r="A11" s="32">
        <v>2321</v>
      </c>
      <c r="B11" s="185" t="s">
        <v>892</v>
      </c>
      <c r="C11" s="276">
        <f t="shared" si="0"/>
        <v>565144.80000000005</v>
      </c>
      <c r="D11" s="244">
        <v>565144.80000000005</v>
      </c>
      <c r="E11" s="243"/>
      <c r="F11" s="253"/>
      <c r="G11" s="253"/>
      <c r="H11" s="253"/>
      <c r="I11" s="256"/>
    </row>
    <row r="12" spans="1:9" x14ac:dyDescent="0.2">
      <c r="A12" s="32">
        <v>2400</v>
      </c>
      <c r="B12" t="s">
        <v>711</v>
      </c>
      <c r="C12" s="276">
        <f t="shared" si="0"/>
        <v>3534212.79</v>
      </c>
      <c r="D12" s="20">
        <f>'DOE25'!L206+'DOE25'!L224+'DOE25'!L242-F12-G12-H12</f>
        <v>3528089.79</v>
      </c>
      <c r="E12" s="243"/>
      <c r="F12" s="244"/>
      <c r="G12" s="53">
        <f>'DOE25'!J206+'DOE25'!J224+'DOE25'!J242</f>
        <v>0</v>
      </c>
      <c r="H12" s="53">
        <f>'DOE25'!K206+'DOE25'!K224+'DOE25'!K242</f>
        <v>6123</v>
      </c>
      <c r="I12" s="256"/>
    </row>
    <row r="13" spans="1:9" x14ac:dyDescent="0.2">
      <c r="A13" s="32">
        <v>2500</v>
      </c>
      <c r="B13" t="s">
        <v>798</v>
      </c>
      <c r="C13" s="276">
        <f t="shared" si="0"/>
        <v>573279.99</v>
      </c>
      <c r="D13" s="243"/>
      <c r="E13" s="20">
        <f>'DOE25'!L207+'DOE25'!L225+'DOE25'!L243-F13-G13-H13</f>
        <v>565985.55999999994</v>
      </c>
      <c r="F13" s="244">
        <f>31194.43-25000</f>
        <v>6194.43</v>
      </c>
      <c r="G13" s="53">
        <f>'DOE25'!J207+'DOE25'!J225+'DOE25'!J243</f>
        <v>0</v>
      </c>
      <c r="H13" s="53">
        <f>'DOE25'!K207+'DOE25'!K225+'DOE25'!K243</f>
        <v>1100</v>
      </c>
      <c r="I13" s="256"/>
    </row>
    <row r="14" spans="1:9" x14ac:dyDescent="0.2">
      <c r="A14" s="32">
        <v>2600</v>
      </c>
      <c r="B14" t="s">
        <v>819</v>
      </c>
      <c r="C14" s="276">
        <f t="shared" si="0"/>
        <v>4771782.47</v>
      </c>
      <c r="D14" s="20">
        <f>'DOE25'!L208+'DOE25'!L226+'DOE25'!L244-F14-G14-H14</f>
        <v>4599103.59</v>
      </c>
      <c r="E14" s="243"/>
      <c r="F14" s="244">
        <f>150864-25000</f>
        <v>125864</v>
      </c>
      <c r="G14" s="53">
        <f>'DOE25'!J208+'DOE25'!J226+'DOE25'!J244</f>
        <v>46079.88</v>
      </c>
      <c r="H14" s="53">
        <f>'DOE25'!K208+'DOE25'!K226+'DOE25'!K244</f>
        <v>735</v>
      </c>
      <c r="I14" s="256"/>
    </row>
    <row r="15" spans="1:9" x14ac:dyDescent="0.2">
      <c r="A15" s="32">
        <v>2700</v>
      </c>
      <c r="B15" t="s">
        <v>799</v>
      </c>
      <c r="C15" s="276">
        <f t="shared" si="0"/>
        <v>2106524.2400000002</v>
      </c>
      <c r="D15" s="20">
        <f>'DOE25'!L209+'DOE25'!L227+'DOE25'!L245-F15-G15-H15</f>
        <v>486710.86000000034</v>
      </c>
      <c r="E15" s="243"/>
      <c r="F15" s="244">
        <f>1018474.4-25000+639388.32-25000+36950.66-25000</f>
        <v>1619813.38</v>
      </c>
      <c r="G15" s="53">
        <f>'DOE25'!J209+'DOE25'!J227+'DOE25'!J245</f>
        <v>0</v>
      </c>
      <c r="H15" s="53">
        <f>'DOE25'!K209+'DOE25'!K227+'DOE25'!K245</f>
        <v>0</v>
      </c>
      <c r="I15" s="256"/>
    </row>
    <row r="16" spans="1:9" x14ac:dyDescent="0.2">
      <c r="A16" s="32">
        <v>2800</v>
      </c>
      <c r="B16" t="s">
        <v>800</v>
      </c>
      <c r="C16" s="276">
        <f t="shared" si="0"/>
        <v>1028</v>
      </c>
      <c r="D16" s="243"/>
      <c r="E16" s="20">
        <f>'DOE25'!L210+'DOE25'!L228+'DOE25'!L246-F16-G16-H16</f>
        <v>1028</v>
      </c>
      <c r="F16" s="244"/>
      <c r="G16" s="53">
        <f>'DOE25'!J210+'DOE25'!J228+'DOE25'!J246</f>
        <v>0</v>
      </c>
      <c r="H16" s="53">
        <f>'DOE25'!K210+'DOE25'!K228+'DOE25'!K246</f>
        <v>0</v>
      </c>
      <c r="I16" s="256"/>
    </row>
    <row r="17" spans="1:9" x14ac:dyDescent="0.2">
      <c r="A17" s="32">
        <v>1600</v>
      </c>
      <c r="B17" t="s">
        <v>801</v>
      </c>
      <c r="C17" s="276">
        <f t="shared" si="0"/>
        <v>127.35</v>
      </c>
      <c r="D17" s="20">
        <f>'DOE25'!L252-F17-G17-H17</f>
        <v>127.35</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2363831.98</v>
      </c>
      <c r="D25" s="243"/>
      <c r="E25" s="243"/>
      <c r="F25" s="255"/>
      <c r="G25" s="253"/>
      <c r="H25" s="253"/>
      <c r="I25" s="254">
        <f>'DOE25'!L261+'DOE25'!L262+'DOE25'!L342+'DOE25'!L343</f>
        <v>2363831.98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1185187.42</v>
      </c>
      <c r="D29" s="284">
        <f>'DOE25'!L359+'DOE25'!L360+'DOE25'!L361-'DOE25'!I368-F29-G29-H29</f>
        <v>1099227.1400000001</v>
      </c>
      <c r="E29" s="243"/>
      <c r="F29" s="244">
        <f>104524.4-25000</f>
        <v>79524.399999999994</v>
      </c>
      <c r="G29" s="53">
        <f>'DOE25'!J359+'DOE25'!J360+'DOE25'!J361</f>
        <v>5282</v>
      </c>
      <c r="H29" s="53">
        <f>'DOE25'!K359+'DOE25'!K360+'DOE25'!K361</f>
        <v>1153.8799999999999</v>
      </c>
      <c r="I29" s="256"/>
    </row>
    <row r="30" spans="1:9" x14ac:dyDescent="0.2">
      <c r="A30" s="32"/>
      <c r="C30" s="277"/>
      <c r="D30" s="20"/>
      <c r="E30" s="281"/>
      <c r="F30" s="271"/>
      <c r="G30" s="53"/>
      <c r="H30" s="53"/>
      <c r="I30" s="256"/>
    </row>
    <row r="31" spans="1:9" x14ac:dyDescent="0.2">
      <c r="A31" s="32" t="s">
        <v>818</v>
      </c>
      <c r="B31" t="s">
        <v>817</v>
      </c>
      <c r="C31" s="276">
        <f>SUM(D31:I31)</f>
        <v>3260386.9200000004</v>
      </c>
      <c r="D31" s="20">
        <f>'DOE25'!L291+'DOE25'!L310+'DOE25'!L329+'DOE25'!L334+'DOE25'!L335+'DOE25'!L336-F31-G31-H31</f>
        <v>2922138.2700000005</v>
      </c>
      <c r="E31" s="243"/>
      <c r="F31" s="244">
        <f>105000-25000</f>
        <v>80000</v>
      </c>
      <c r="G31" s="53">
        <f>'DOE25'!J291+'DOE25'!J310+'DOE25'!J329+'DOE25'!J334+'DOE25'!J335+'DOE25'!J336</f>
        <v>91636.840000000011</v>
      </c>
      <c r="H31" s="53">
        <f>'DOE25'!K291+'DOE25'!K310+'DOE25'!K329+'DOE25'!K334+'DOE25'!K335+'DOE25'!K336</f>
        <v>166611.81</v>
      </c>
      <c r="I31" s="256"/>
    </row>
    <row r="32" spans="1:9" ht="12" thickBot="1" x14ac:dyDescent="0.25">
      <c r="C32" s="277"/>
      <c r="G32" s="251"/>
      <c r="H32" s="251"/>
      <c r="I32" s="258"/>
    </row>
    <row r="33" spans="1:9" ht="12" thickTop="1" x14ac:dyDescent="0.2">
      <c r="B33" t="s">
        <v>809</v>
      </c>
      <c r="D33" s="245">
        <f t="shared" ref="D33:I33" si="1">SUM(D5:D31)</f>
        <v>59640065.989999995</v>
      </c>
      <c r="E33" s="245">
        <f t="shared" si="1"/>
        <v>2225150.09</v>
      </c>
      <c r="F33" s="245">
        <f t="shared" si="1"/>
        <v>2693196.38</v>
      </c>
      <c r="G33" s="245">
        <f t="shared" si="1"/>
        <v>369090.65</v>
      </c>
      <c r="H33" s="245">
        <f t="shared" si="1"/>
        <v>313449.28000000003</v>
      </c>
      <c r="I33" s="245">
        <f t="shared" si="1"/>
        <v>2363831.98</v>
      </c>
    </row>
    <row r="35" spans="1:9" ht="12" thickBot="1" x14ac:dyDescent="0.25">
      <c r="B35" s="251" t="s">
        <v>831</v>
      </c>
      <c r="D35" s="252">
        <f>E33</f>
        <v>2225150.09</v>
      </c>
      <c r="E35" s="248"/>
    </row>
    <row r="36" spans="1:9" ht="12" thickTop="1" x14ac:dyDescent="0.2">
      <c r="B36" t="s">
        <v>810</v>
      </c>
      <c r="D36" s="20">
        <f>D33</f>
        <v>59640065.989999995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Rochester </v>
      </c>
      <c r="B2" s="126">
        <f>'DOE25'!B2</f>
        <v>461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29673816.32</v>
      </c>
      <c r="G4" s="303">
        <f>'DOE25'!L212+'DOE25'!L291</f>
        <v>29673816.32</v>
      </c>
      <c r="H4" s="337">
        <f>F4-G4</f>
        <v>0</v>
      </c>
      <c r="I4" s="309" t="str">
        <f>IF(H4=0,"","Does not match DOE25 page 7 and 11 Totals!!")</f>
        <v/>
      </c>
      <c r="N4"/>
    </row>
    <row r="5" spans="1:18" x14ac:dyDescent="0.2">
      <c r="A5" s="21" t="s">
        <v>1387</v>
      </c>
      <c r="B5" s="304">
        <f>IFERROR(VLOOKUP(A5,'School Tables'!$C$3:$D$365,2,FALSE),"")</f>
        <v>22690</v>
      </c>
      <c r="C5" s="297" t="str">
        <f>IFERROR(INDEX('School Tables'!$B$3:$B$365,MATCH('School Level Expenditures'!B5,'School Tables'!$D$3:$D$365,0)),"")</f>
        <v>Rochester</v>
      </c>
      <c r="D5" s="294">
        <v>4807877.13</v>
      </c>
      <c r="E5" s="294">
        <v>236671.67</v>
      </c>
      <c r="F5" s="312">
        <f>D5+E5</f>
        <v>5044548.8</v>
      </c>
      <c r="G5" s="297"/>
      <c r="H5" s="297"/>
      <c r="I5" s="126"/>
      <c r="N5"/>
    </row>
    <row r="6" spans="1:18" x14ac:dyDescent="0.2">
      <c r="A6" s="21" t="s">
        <v>1388</v>
      </c>
      <c r="B6" s="304">
        <f>IFERROR(VLOOKUP(A6,'School Tables'!$C$3:$D$365,2,FALSE),"")</f>
        <v>22695</v>
      </c>
      <c r="C6" s="297" t="str">
        <f>IFERROR(INDEX('School Tables'!$B$3:$B$365,MATCH('School Level Expenditures'!B6,'School Tables'!$D$3:$D$365,0)),"")</f>
        <v>Rochester</v>
      </c>
      <c r="D6" s="294">
        <v>5656326.0300000003</v>
      </c>
      <c r="E6" s="294">
        <v>278437.25</v>
      </c>
      <c r="F6" s="307">
        <f t="shared" ref="F6:F20" si="0">D6+E6</f>
        <v>5934763.2800000003</v>
      </c>
      <c r="G6" s="297"/>
      <c r="H6" s="297"/>
      <c r="I6" s="126"/>
      <c r="N6"/>
    </row>
    <row r="7" spans="1:18" x14ac:dyDescent="0.2">
      <c r="A7" s="21" t="s">
        <v>1383</v>
      </c>
      <c r="B7" s="304">
        <f>IFERROR(VLOOKUP(A7,'School Tables'!$C$3:$D$365,2,FALSE),"")</f>
        <v>22650</v>
      </c>
      <c r="C7" s="297" t="str">
        <f>IFERROR(INDEX('School Tables'!$B$3:$B$365,MATCH('School Level Expenditures'!B7,'School Tables'!$D$3:$D$365,0)),"")</f>
        <v>Rochester</v>
      </c>
      <c r="D7" s="294">
        <v>4242244.53</v>
      </c>
      <c r="E7" s="294">
        <v>208827.93</v>
      </c>
      <c r="F7" s="307">
        <f t="shared" si="0"/>
        <v>4451072.46</v>
      </c>
      <c r="G7" s="297"/>
      <c r="H7" s="297"/>
      <c r="I7" s="126"/>
      <c r="N7"/>
    </row>
    <row r="8" spans="1:18" x14ac:dyDescent="0.2">
      <c r="A8" s="21" t="s">
        <v>1384</v>
      </c>
      <c r="B8" s="304">
        <f>IFERROR(VLOOKUP(A8,'School Tables'!$C$3:$D$365,2,FALSE),"")</f>
        <v>22660</v>
      </c>
      <c r="C8" s="297" t="str">
        <f>IFERROR(INDEX('School Tables'!$B$3:$B$365,MATCH('School Level Expenditures'!B8,'School Tables'!$D$3:$D$365,0)),"")</f>
        <v>Rochester</v>
      </c>
      <c r="D8" s="294">
        <v>1414081.51</v>
      </c>
      <c r="E8" s="294">
        <v>69609.31</v>
      </c>
      <c r="F8" s="307">
        <f t="shared" si="0"/>
        <v>1483690.82</v>
      </c>
      <c r="G8" s="297"/>
      <c r="H8" s="297"/>
      <c r="I8" s="126"/>
      <c r="N8"/>
    </row>
    <row r="9" spans="1:18" x14ac:dyDescent="0.2">
      <c r="A9" s="21" t="s">
        <v>1392</v>
      </c>
      <c r="B9" s="304">
        <f>IFERROR(VLOOKUP(A9,'School Tables'!$C$3:$D$365,2,FALSE),"")</f>
        <v>22725</v>
      </c>
      <c r="C9" s="297" t="str">
        <f>IFERROR(INDEX('School Tables'!$B$3:$B$365,MATCH('School Level Expenditures'!B9,'School Tables'!$D$3:$D$365,0)),"")</f>
        <v>Rochester</v>
      </c>
      <c r="D9" s="294">
        <v>3393795.6</v>
      </c>
      <c r="E9" s="294">
        <v>167062.35999999999</v>
      </c>
      <c r="F9" s="307">
        <f t="shared" si="0"/>
        <v>3560857.96</v>
      </c>
      <c r="G9" s="297"/>
      <c r="H9" s="297"/>
      <c r="I9" s="126"/>
      <c r="N9"/>
    </row>
    <row r="10" spans="1:18" x14ac:dyDescent="0.2">
      <c r="A10" s="21" t="s">
        <v>1393</v>
      </c>
      <c r="B10" s="304">
        <f>IFERROR(VLOOKUP(A10,'School Tables'!$C$3:$D$365,2,FALSE),"")</f>
        <v>29080</v>
      </c>
      <c r="C10" s="297" t="str">
        <f>IFERROR(INDEX('School Tables'!$B$3:$B$365,MATCH('School Level Expenditures'!B10,'School Tables'!$D$3:$D$365,0)),"")</f>
        <v>Rochester</v>
      </c>
      <c r="D10" s="294">
        <v>1696897.81</v>
      </c>
      <c r="E10" s="294">
        <v>83531.17</v>
      </c>
      <c r="F10" s="307">
        <f t="shared" si="0"/>
        <v>1780428.98</v>
      </c>
      <c r="G10" s="297"/>
      <c r="H10" s="297"/>
      <c r="I10" s="126"/>
      <c r="N10"/>
    </row>
    <row r="11" spans="1:18" x14ac:dyDescent="0.2">
      <c r="A11" s="21" t="s">
        <v>1385</v>
      </c>
      <c r="B11" s="304">
        <f>IFERROR(VLOOKUP(A11,'School Tables'!$C$3:$D$365,2,FALSE),"")</f>
        <v>22665</v>
      </c>
      <c r="C11" s="297" t="str">
        <f>IFERROR(INDEX('School Tables'!$B$3:$B$365,MATCH('School Level Expenditures'!B11,'School Tables'!$D$3:$D$365,0)),"")</f>
        <v>Rochester</v>
      </c>
      <c r="D11" s="294">
        <f>5939142.33-0.06</f>
        <v>5939142.2700000005</v>
      </c>
      <c r="E11" s="294">
        <v>292359.09999999998</v>
      </c>
      <c r="F11" s="307">
        <f t="shared" si="0"/>
        <v>6231501.3700000001</v>
      </c>
      <c r="G11" s="297"/>
      <c r="H11" s="297"/>
      <c r="I11" s="126"/>
      <c r="N11"/>
    </row>
    <row r="12" spans="1:18" x14ac:dyDescent="0.2">
      <c r="A12" s="21" t="s">
        <v>1391</v>
      </c>
      <c r="B12" s="304">
        <f>IFERROR(VLOOKUP(A12,'School Tables'!$C$3:$D$365,2,FALSE),"")</f>
        <v>22720</v>
      </c>
      <c r="C12" s="297" t="str">
        <f>IFERROR(INDEX('School Tables'!$B$3:$B$365,MATCH('School Level Expenditures'!B12,'School Tables'!$D$3:$D$365,0)),"")</f>
        <v>Rochester</v>
      </c>
      <c r="D12" s="294">
        <v>1131265.2</v>
      </c>
      <c r="E12" s="294">
        <v>55687.45</v>
      </c>
      <c r="F12" s="307">
        <f t="shared" si="0"/>
        <v>1186952.6499999999</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13833351.99</v>
      </c>
      <c r="G24" s="303">
        <f>'DOE25'!L230+'DOE25'!L310</f>
        <v>13833351.989999998</v>
      </c>
      <c r="H24" s="337">
        <f>F24-G24</f>
        <v>0</v>
      </c>
      <c r="I24" s="309" t="str">
        <f>IF(H24=0,"","Does not match DOE25 page 8 and 12 Totals!!")</f>
        <v/>
      </c>
      <c r="N24"/>
    </row>
    <row r="25" spans="1:14" x14ac:dyDescent="0.2">
      <c r="A25" s="21" t="s">
        <v>1390</v>
      </c>
      <c r="B25" s="304">
        <f>IFERROR(VLOOKUP(A25,'School Tables'!$I$3:$J$80,2,FALSE),"")</f>
        <v>22705</v>
      </c>
      <c r="C25" s="297" t="str">
        <f t="array" ref="C25">IFERROR(INDEX('School Tables'!$H$3:$H$80,MATCH('School Level Expenditures'!B25,'School Tables'!$J$3:$J$80,0)),"")</f>
        <v>Rochester</v>
      </c>
      <c r="D25" s="294">
        <v>13168060.210000001</v>
      </c>
      <c r="E25" s="294">
        <f>224521.27+220106.48+5577.94+43493.55+59164.84+80926.21+13130.48+52.44+18318.57</f>
        <v>665291.7799999998</v>
      </c>
      <c r="F25" s="307">
        <f>D25+E25</f>
        <v>13833351.99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20509475.760000002</v>
      </c>
      <c r="G36" s="303">
        <f>'DOE25'!L248+'DOE25'!L329</f>
        <v>20509475.759999998</v>
      </c>
      <c r="H36" s="337">
        <f>F36-G36</f>
        <v>0</v>
      </c>
      <c r="I36" s="309" t="str">
        <f>IF(H36=0,"","Does not match DOE25 page 9 and 13 Totals!!")</f>
        <v/>
      </c>
      <c r="N36"/>
    </row>
    <row r="37" spans="1:14" x14ac:dyDescent="0.2">
      <c r="A37" s="21" t="s">
        <v>1389</v>
      </c>
      <c r="B37" s="304">
        <f>IFERROR(VLOOKUP(A37,'School Tables'!$O$3:$P$118,2,FALSE),"")</f>
        <v>22700</v>
      </c>
      <c r="C37" s="297" t="str">
        <f t="array" ref="C37">IFERROR(INDEX('School Tables'!$N$3:$N$118,MATCH('School Level Expenditures'!B37,'School Tables'!$P$3:$P$118,0)),"")</f>
        <v>Rochester</v>
      </c>
      <c r="D37" s="294">
        <v>19340010.41</v>
      </c>
      <c r="E37" s="294">
        <v>1169465.3500000001</v>
      </c>
      <c r="F37" s="307">
        <f>D37+E37</f>
        <v>20509475.760000002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Rochester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1293352.31</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82618.86</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503260.6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75564.56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75564.56</v>
      </c>
      <c r="E18" s="41">
        <f>SUM(E8:E17)</f>
        <v>585879.46</v>
      </c>
      <c r="F18" s="41">
        <f>SUM(F8:F17)</f>
        <v>1293352.31</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502510.75</v>
      </c>
      <c r="F21" s="95">
        <f>'DOE25'!I22</f>
        <v>0</v>
      </c>
      <c r="G21" s="95">
        <f>'DOE25'!J22</f>
        <v>0</v>
      </c>
      <c r="H21" s="124"/>
      <c r="I21" s="124"/>
    </row>
    <row r="22" spans="1:9" x14ac:dyDescent="0.2">
      <c r="A22" s="1" t="s">
        <v>151</v>
      </c>
      <c r="B22" s="6">
        <v>410</v>
      </c>
      <c r="C22" s="95">
        <f>'DOE25'!F23</f>
        <v>0</v>
      </c>
      <c r="D22" s="95">
        <f>'DOE25'!G23</f>
        <v>53659.57</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83368.710000000006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53659.57</v>
      </c>
      <c r="E31" s="41">
        <f>SUM(E21:E30)</f>
        <v>585879.46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21904.99</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1293352.31</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21904.99</v>
      </c>
      <c r="E50" s="41">
        <f>SUM(E34:E49)</f>
        <v>0</v>
      </c>
      <c r="F50" s="41">
        <f>SUM(F34:F49)</f>
        <v>1293352.31</v>
      </c>
      <c r="G50" s="41">
        <f>SUM(G34:G49)</f>
        <v>0</v>
      </c>
      <c r="H50" s="124"/>
      <c r="I50" s="124"/>
    </row>
    <row r="51" spans="1:9" ht="12" thickTop="1" x14ac:dyDescent="0.2">
      <c r="A51" s="38" t="s">
        <v>885</v>
      </c>
      <c r="B51" s="2"/>
      <c r="C51" s="41">
        <f>C50+C31</f>
        <v>0</v>
      </c>
      <c r="D51" s="41">
        <f>D50+D31</f>
        <v>75564.56</v>
      </c>
      <c r="E51" s="41">
        <f>E50+E31</f>
        <v>585879.46</v>
      </c>
      <c r="F51" s="41">
        <f>F50+F31</f>
        <v>1293352.31</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32453514</v>
      </c>
      <c r="D56" s="95">
        <f>'DOE25'!G60</f>
        <v>0</v>
      </c>
      <c r="E56" s="95">
        <f>'DOE25'!H60</f>
        <v>0</v>
      </c>
      <c r="F56" s="95">
        <f>'DOE25'!I60</f>
        <v>0</v>
      </c>
      <c r="G56" s="95">
        <f>'DOE25'!J60</f>
        <v>0</v>
      </c>
      <c r="H56"/>
      <c r="I56"/>
    </row>
    <row r="57" spans="1:9" x14ac:dyDescent="0.2">
      <c r="A57" s="1" t="s">
        <v>164</v>
      </c>
      <c r="B57" s="6" t="s">
        <v>165</v>
      </c>
      <c r="C57" s="95">
        <f>'DOE25'!F79</f>
        <v>2079726.19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497050.25</v>
      </c>
      <c r="E60" s="24" t="s">
        <v>288</v>
      </c>
      <c r="F60" s="24" t="s">
        <v>288</v>
      </c>
      <c r="G60" s="24" t="s">
        <v>288</v>
      </c>
      <c r="H60"/>
      <c r="I60"/>
    </row>
    <row r="61" spans="1:9" ht="12" thickBot="1" x14ac:dyDescent="0.25">
      <c r="A61" s="1" t="s">
        <v>172</v>
      </c>
      <c r="B61" s="118" t="s">
        <v>173</v>
      </c>
      <c r="C61" s="95">
        <f>SUM('DOE25'!F98:F110)</f>
        <v>202041.60000000001</v>
      </c>
      <c r="D61" s="95">
        <f>SUM('DOE25'!G98:G110)</f>
        <v>0</v>
      </c>
      <c r="E61" s="95">
        <f>SUM('DOE25'!H98:H110)</f>
        <v>0</v>
      </c>
      <c r="F61" s="95">
        <f>SUM('DOE25'!I98:I110)</f>
        <v>1293352.31</v>
      </c>
      <c r="G61" s="95">
        <f>SUM('DOE25'!J98:J110)</f>
        <v>0</v>
      </c>
      <c r="H61"/>
      <c r="I61"/>
    </row>
    <row r="62" spans="1:9" ht="12.75" thickTop="1" thickBot="1" x14ac:dyDescent="0.25">
      <c r="A62" s="29" t="s">
        <v>174</v>
      </c>
      <c r="B62" s="6"/>
      <c r="C62" s="130">
        <f>SUM(C57:C61)</f>
        <v>2281767.79</v>
      </c>
      <c r="D62" s="130">
        <f>SUM(D57:D61)</f>
        <v>497050.25</v>
      </c>
      <c r="E62" s="130">
        <f>SUM(E57:E61)</f>
        <v>0</v>
      </c>
      <c r="F62" s="130">
        <f>SUM(F57:F61)</f>
        <v>1293352.31</v>
      </c>
      <c r="G62" s="130">
        <f>SUM(G57:G61)</f>
        <v>0</v>
      </c>
      <c r="H62"/>
      <c r="I62"/>
    </row>
    <row r="63" spans="1:9" ht="12" thickTop="1" x14ac:dyDescent="0.2">
      <c r="A63" s="29" t="s">
        <v>175</v>
      </c>
      <c r="B63" s="6"/>
      <c r="C63" s="22">
        <f>C56+C62</f>
        <v>34735281.789999999</v>
      </c>
      <c r="D63" s="22">
        <f>D56+D62</f>
        <v>497050.25</v>
      </c>
      <c r="E63" s="22">
        <f>E56+E62</f>
        <v>0</v>
      </c>
      <c r="F63" s="22">
        <f>F56+F62</f>
        <v>1293352.31</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23961538.379999999</v>
      </c>
      <c r="D66" s="24" t="s">
        <v>288</v>
      </c>
      <c r="E66" s="24" t="s">
        <v>288</v>
      </c>
      <c r="F66" s="24" t="s">
        <v>288</v>
      </c>
      <c r="G66" s="24" t="s">
        <v>288</v>
      </c>
      <c r="H66"/>
      <c r="I66"/>
    </row>
    <row r="67" spans="1:9" x14ac:dyDescent="0.2">
      <c r="A67" s="1" t="s">
        <v>770</v>
      </c>
      <c r="B67" s="6">
        <v>3112</v>
      </c>
      <c r="C67" s="95">
        <f>'DOE25'!F118</f>
        <v>4933384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12215.98</v>
      </c>
      <c r="D69" s="95">
        <f>'DOE25'!G120</f>
        <v>0</v>
      </c>
      <c r="E69" s="95">
        <f>'DOE25'!H120</f>
        <v>0</v>
      </c>
      <c r="F69" s="95">
        <f>'DOE25'!I120</f>
        <v>0</v>
      </c>
      <c r="G69" s="95">
        <f>'DOE25'!J120</f>
        <v>0</v>
      </c>
      <c r="H69"/>
      <c r="I69"/>
    </row>
    <row r="70" spans="1:9" ht="12" thickTop="1" x14ac:dyDescent="0.2">
      <c r="A70" s="29" t="s">
        <v>252</v>
      </c>
      <c r="B70" s="2"/>
      <c r="C70" s="139">
        <f>SUM(C66:C69)</f>
        <v>28907138.359999999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124120.73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904449.94</v>
      </c>
      <c r="D75" s="24" t="s">
        <v>288</v>
      </c>
      <c r="E75" s="24" t="s">
        <v>288</v>
      </c>
      <c r="F75" s="24" t="s">
        <v>288</v>
      </c>
      <c r="G75" s="24" t="s">
        <v>288</v>
      </c>
      <c r="H75"/>
      <c r="I75"/>
    </row>
    <row r="76" spans="1:9" x14ac:dyDescent="0.2">
      <c r="A76" s="1" t="s">
        <v>257</v>
      </c>
      <c r="B76" s="6" t="s">
        <v>179</v>
      </c>
      <c r="C76" s="95">
        <f>SUM('DOE25'!F127:F130)</f>
        <v>44773.43</v>
      </c>
      <c r="D76" s="24" t="s">
        <v>288</v>
      </c>
      <c r="E76" s="95">
        <f>SUM('DOE25'!H127:H130)</f>
        <v>0</v>
      </c>
      <c r="F76" s="95">
        <f>SUM('DOE25'!I127:I130)</f>
        <v>0</v>
      </c>
      <c r="G76" s="24" t="s">
        <v>288</v>
      </c>
      <c r="H76"/>
      <c r="I76"/>
    </row>
    <row r="77" spans="1:9" ht="12" thickBot="1" x14ac:dyDescent="0.25">
      <c r="A77" s="1" t="s">
        <v>258</v>
      </c>
      <c r="B77" s="6" t="s">
        <v>180</v>
      </c>
      <c r="C77" s="95">
        <f>SUM('DOE25'!F131:F135)</f>
        <v>2975.02</v>
      </c>
      <c r="D77" s="95">
        <f>SUM('DOE25'!G131:G135)</f>
        <v>80636.760000000009</v>
      </c>
      <c r="E77" s="95">
        <f>SUM('DOE25'!H131:H135)</f>
        <v>0</v>
      </c>
      <c r="F77" s="95">
        <f>SUM('DOE25'!I131:I135)</f>
        <v>0</v>
      </c>
      <c r="G77" s="95">
        <f>SUM('DOE25'!J131:J135)</f>
        <v>0</v>
      </c>
      <c r="H77"/>
      <c r="I77"/>
    </row>
    <row r="78" spans="1:9" ht="12.75" thickTop="1" thickBot="1" x14ac:dyDescent="0.25">
      <c r="A78" s="29" t="s">
        <v>259</v>
      </c>
      <c r="B78" s="6"/>
      <c r="C78" s="130">
        <f>SUM(C72:C77)</f>
        <v>1076319.1199999999</v>
      </c>
      <c r="D78" s="130">
        <f>SUM(D72:D77)</f>
        <v>80636.760000000009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29983457.48</v>
      </c>
      <c r="D81" s="130">
        <f>SUM(D79:D80)+D78+D70</f>
        <v>80636.760000000009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74047.75</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594164.99</v>
      </c>
      <c r="D88" s="341">
        <f>SUM('DOE25'!G153:G162)</f>
        <v>747684.2</v>
      </c>
      <c r="E88" s="341">
        <f>SUM('DOE25'!H153:H162)</f>
        <v>3275499.29</v>
      </c>
      <c r="F88" s="341">
        <f>SUM('DOE25'!I153:I162)</f>
        <v>0</v>
      </c>
      <c r="G88" s="24" t="s">
        <v>288</v>
      </c>
    </row>
    <row r="89" spans="1:9" x14ac:dyDescent="0.2">
      <c r="A89" t="s">
        <v>748</v>
      </c>
      <c r="B89" s="32" t="s">
        <v>185</v>
      </c>
      <c r="C89" s="95">
        <f>'DOE25'!F164+'DOE25'!F167+'DOE25'!F169</f>
        <v>87997.99</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756210.73</v>
      </c>
      <c r="D91" s="131">
        <f>SUM(D85:D90)</f>
        <v>747684.2</v>
      </c>
      <c r="E91" s="131">
        <f>SUM(E85:E90)</f>
        <v>3275499.29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348724.31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348724.31</v>
      </c>
      <c r="E103" s="86">
        <f>SUM(E93:E102)</f>
        <v>0</v>
      </c>
      <c r="F103" s="86">
        <f>SUM(F93:F102)</f>
        <v>0</v>
      </c>
      <c r="G103" s="86">
        <f>SUM(G93:G102)</f>
        <v>0</v>
      </c>
    </row>
    <row r="104" spans="1:7" ht="12.75" thickTop="1" thickBot="1" x14ac:dyDescent="0.25">
      <c r="A104" s="33" t="s">
        <v>761</v>
      </c>
      <c r="C104" s="86">
        <f>C63+C81+C91+C103</f>
        <v>65474949.999999993</v>
      </c>
      <c r="D104" s="86">
        <f>D63+D81+D91+D103</f>
        <v>1674095.52</v>
      </c>
      <c r="E104" s="86">
        <f>E63+E81+E91+E103</f>
        <v>3275499.29</v>
      </c>
      <c r="F104" s="86">
        <f>F63+F81+F91+F103</f>
        <v>1293352.31</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23710060.57</v>
      </c>
      <c r="D109" s="24" t="s">
        <v>288</v>
      </c>
      <c r="E109" s="95">
        <f>('DOE25'!L277)+('DOE25'!L296)+('DOE25'!L315)</f>
        <v>1020551.0599999999</v>
      </c>
      <c r="F109" s="24" t="s">
        <v>288</v>
      </c>
      <c r="G109" s="24" t="s">
        <v>288</v>
      </c>
    </row>
    <row r="110" spans="1:7" x14ac:dyDescent="0.2">
      <c r="A110" t="s">
        <v>198</v>
      </c>
      <c r="B110" s="32" t="s">
        <v>199</v>
      </c>
      <c r="C110" s="95">
        <f>('DOE25'!L199)+('DOE25'!L217)+('DOE25'!L235)</f>
        <v>16409437.689999999</v>
      </c>
      <c r="D110" s="24" t="s">
        <v>288</v>
      </c>
      <c r="E110" s="95">
        <f>('DOE25'!L278)+('DOE25'!L297)+('DOE25'!L316)</f>
        <v>1031846.31</v>
      </c>
      <c r="F110" s="24" t="s">
        <v>288</v>
      </c>
      <c r="G110" s="24" t="s">
        <v>288</v>
      </c>
    </row>
    <row r="111" spans="1:7" x14ac:dyDescent="0.2">
      <c r="A111" t="s">
        <v>200</v>
      </c>
      <c r="B111" s="32" t="s">
        <v>165</v>
      </c>
      <c r="C111" s="95">
        <f>('DOE25'!L200)+('DOE25'!L218)+('DOE25'!L236)</f>
        <v>1667645.7700000003</v>
      </c>
      <c r="D111" s="24" t="s">
        <v>288</v>
      </c>
      <c r="E111" s="95">
        <f>('DOE25'!L279)+('DOE25'!L298)+('DOE25'!L317)</f>
        <v>126033.1</v>
      </c>
      <c r="F111" s="24" t="s">
        <v>288</v>
      </c>
      <c r="G111" s="24" t="s">
        <v>288</v>
      </c>
    </row>
    <row r="112" spans="1:7" x14ac:dyDescent="0.2">
      <c r="A112" t="s">
        <v>201</v>
      </c>
      <c r="B112" s="32" t="s">
        <v>167</v>
      </c>
      <c r="C112" s="95">
        <f>('DOE25'!L201)+('DOE25'!L219)+('DOE25'!L237)</f>
        <v>609777.55000000005</v>
      </c>
      <c r="D112" s="24" t="s">
        <v>288</v>
      </c>
      <c r="E112" s="95">
        <f>+('DOE25'!L280)+('DOE25'!L299)+('DOE25'!L318)</f>
        <v>37009.310000000005</v>
      </c>
      <c r="F112" s="24" t="s">
        <v>288</v>
      </c>
      <c r="G112" s="24" t="s">
        <v>288</v>
      </c>
    </row>
    <row r="113" spans="1:7" x14ac:dyDescent="0.2">
      <c r="A113" t="s">
        <v>202</v>
      </c>
      <c r="B113" s="32" t="s">
        <v>169</v>
      </c>
      <c r="C113" s="95">
        <f>'DOE25'!L251</f>
        <v>0</v>
      </c>
      <c r="D113" s="24" t="s">
        <v>288</v>
      </c>
      <c r="E113" s="95">
        <f>+'DOE25'!L333</f>
        <v>15112.37</v>
      </c>
      <c r="F113" s="24" t="s">
        <v>288</v>
      </c>
      <c r="G113" s="24" t="s">
        <v>288</v>
      </c>
    </row>
    <row r="114" spans="1:7" ht="12" thickBot="1" x14ac:dyDescent="0.25">
      <c r="A114" t="s">
        <v>203</v>
      </c>
      <c r="B114" s="32" t="s">
        <v>204</v>
      </c>
      <c r="C114" s="95">
        <f>SUM('DOE25'!L252:L254)</f>
        <v>127.35</v>
      </c>
      <c r="D114" s="24" t="s">
        <v>288</v>
      </c>
      <c r="E114" s="95">
        <f>+ SUM('DOE25'!L334:L336)</f>
        <v>33443.550000000003</v>
      </c>
      <c r="F114" s="24" t="s">
        <v>288</v>
      </c>
      <c r="G114" s="24" t="s">
        <v>288</v>
      </c>
    </row>
    <row r="115" spans="1:7" ht="12.75" thickTop="1" thickBot="1" x14ac:dyDescent="0.25">
      <c r="A115" s="33" t="s">
        <v>205</v>
      </c>
      <c r="C115" s="86">
        <f>SUM(C109:C114)</f>
        <v>42397048.93</v>
      </c>
      <c r="D115" s="86">
        <f>SUM(D109:D114)</f>
        <v>0</v>
      </c>
      <c r="E115" s="86">
        <f>SUM(E109:E114)</f>
        <v>2263995.7000000002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2536863.1</v>
      </c>
      <c r="D118" s="24" t="s">
        <v>288</v>
      </c>
      <c r="E118" s="95">
        <f>+('DOE25'!L282)+('DOE25'!L301)+('DOE25'!L320)</f>
        <v>198206.02</v>
      </c>
      <c r="F118" s="24" t="s">
        <v>288</v>
      </c>
      <c r="G118" s="24" t="s">
        <v>288</v>
      </c>
    </row>
    <row r="119" spans="1:7" x14ac:dyDescent="0.2">
      <c r="A119" t="s">
        <v>208</v>
      </c>
      <c r="B119" s="32" t="s">
        <v>209</v>
      </c>
      <c r="C119" s="95">
        <f>('DOE25'!L204)+('DOE25'!L222)+('DOE25'!L240)</f>
        <v>2580633.7599999998</v>
      </c>
      <c r="D119" s="24" t="s">
        <v>288</v>
      </c>
      <c r="E119" s="95">
        <f>+('DOE25'!L283)+('DOE25'!L302)+('DOE25'!L321)</f>
        <v>268931.15000000002</v>
      </c>
      <c r="F119" s="24" t="s">
        <v>288</v>
      </c>
      <c r="G119" s="24" t="s">
        <v>288</v>
      </c>
    </row>
    <row r="120" spans="1:7" x14ac:dyDescent="0.2">
      <c r="A120" t="s">
        <v>210</v>
      </c>
      <c r="B120" s="32" t="s">
        <v>211</v>
      </c>
      <c r="C120" s="95">
        <f>('DOE25'!L205)+('DOE25'!L223)+('DOE25'!L241)</f>
        <v>2288454.77</v>
      </c>
      <c r="D120" s="24" t="s">
        <v>288</v>
      </c>
      <c r="E120" s="95">
        <f>+('DOE25'!L284)+('DOE25'!L303)+('DOE25'!L322)</f>
        <v>367846.36</v>
      </c>
      <c r="F120" s="24" t="s">
        <v>288</v>
      </c>
      <c r="G120" s="24" t="s">
        <v>288</v>
      </c>
    </row>
    <row r="121" spans="1:7" x14ac:dyDescent="0.2">
      <c r="A121" t="s">
        <v>212</v>
      </c>
      <c r="B121" s="32" t="s">
        <v>213</v>
      </c>
      <c r="C121" s="95">
        <f>('DOE25'!L206)+('DOE25'!L224)+('DOE25'!L242)</f>
        <v>3534212.79</v>
      </c>
      <c r="D121" s="24" t="s">
        <v>288</v>
      </c>
      <c r="E121" s="95">
        <f>+('DOE25'!L285)+('DOE25'!L304)+('DOE25'!L323)</f>
        <v>29061.16</v>
      </c>
      <c r="F121" s="24" t="s">
        <v>288</v>
      </c>
      <c r="G121" s="24" t="s">
        <v>288</v>
      </c>
    </row>
    <row r="122" spans="1:7" x14ac:dyDescent="0.2">
      <c r="A122" t="s">
        <v>214</v>
      </c>
      <c r="B122" s="32" t="s">
        <v>215</v>
      </c>
      <c r="C122" s="95">
        <f>('DOE25'!L207)+('DOE25'!L225)+('DOE25'!L243)</f>
        <v>573279.99</v>
      </c>
      <c r="D122" s="24" t="s">
        <v>288</v>
      </c>
      <c r="E122" s="95">
        <f>+('DOE25'!L286)+('DOE25'!L305)+('DOE25'!L324)</f>
        <v>86844.11</v>
      </c>
      <c r="F122" s="24" t="s">
        <v>288</v>
      </c>
      <c r="G122" s="24" t="s">
        <v>288</v>
      </c>
    </row>
    <row r="123" spans="1:7" x14ac:dyDescent="0.2">
      <c r="A123" t="s">
        <v>216</v>
      </c>
      <c r="B123" s="32" t="s">
        <v>217</v>
      </c>
      <c r="C123" s="95">
        <f>('DOE25'!L208)+('DOE25'!L226)+('DOE25'!L244)</f>
        <v>4771782.47</v>
      </c>
      <c r="D123" s="24" t="s">
        <v>288</v>
      </c>
      <c r="E123" s="95">
        <f>+('DOE25'!L287)+('DOE25'!L306)+('DOE25'!L325)</f>
        <v>0</v>
      </c>
      <c r="F123" s="24" t="s">
        <v>288</v>
      </c>
      <c r="G123" s="24" t="s">
        <v>288</v>
      </c>
    </row>
    <row r="124" spans="1:7" x14ac:dyDescent="0.2">
      <c r="A124" t="s">
        <v>218</v>
      </c>
      <c r="B124" s="32" t="s">
        <v>219</v>
      </c>
      <c r="C124" s="95">
        <f>('DOE25'!L209)+('DOE25'!L227)+('DOE25'!L245+'DOE25'!L255)</f>
        <v>2106524.2400000002</v>
      </c>
      <c r="D124" s="24" t="s">
        <v>288</v>
      </c>
      <c r="E124" s="95">
        <f>+('DOE25'!L288)+('DOE25'!L307)+('DOE25'!L326)</f>
        <v>59684</v>
      </c>
      <c r="F124" s="24" t="s">
        <v>288</v>
      </c>
      <c r="G124" s="24" t="s">
        <v>288</v>
      </c>
    </row>
    <row r="125" spans="1:7" x14ac:dyDescent="0.2">
      <c r="A125" t="s">
        <v>220</v>
      </c>
      <c r="B125" s="32" t="s">
        <v>221</v>
      </c>
      <c r="C125" s="95">
        <f>('DOE25'!L210)+('DOE25'!L228)+('DOE25'!L246)</f>
        <v>1028</v>
      </c>
      <c r="D125" s="24" t="s">
        <v>288</v>
      </c>
      <c r="E125" s="95">
        <f>+('DOE25'!L289)+('DOE25'!L308)+('DOE25'!L327)</f>
        <v>930.79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1674095.52</v>
      </c>
      <c r="E127" s="24" t="s">
        <v>288</v>
      </c>
      <c r="F127" s="24" t="s">
        <v>288</v>
      </c>
      <c r="G127" s="24" t="s">
        <v>288</v>
      </c>
    </row>
    <row r="128" spans="1:7" ht="12.75" thickTop="1" thickBot="1" x14ac:dyDescent="0.25">
      <c r="A128" s="33" t="s">
        <v>226</v>
      </c>
      <c r="C128" s="86">
        <f>SUM(C118:C127)</f>
        <v>18392779.119999997</v>
      </c>
      <c r="D128" s="86">
        <f>SUM(D118:D127)</f>
        <v>1674095.52</v>
      </c>
      <c r="E128" s="86">
        <f>SUM(E118:E127)</f>
        <v>1011503.5900000001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1607049.55</v>
      </c>
      <c r="G130" s="24" t="s">
        <v>288</v>
      </c>
    </row>
    <row r="131" spans="1:7" x14ac:dyDescent="0.2">
      <c r="A131" t="s">
        <v>229</v>
      </c>
      <c r="B131" s="32">
        <v>5110</v>
      </c>
      <c r="C131" s="95">
        <f>'DOE25'!L261</f>
        <v>1702525.83</v>
      </c>
      <c r="D131" s="24" t="s">
        <v>288</v>
      </c>
      <c r="E131" s="129">
        <f>'DOE25'!L342</f>
        <v>0</v>
      </c>
      <c r="F131" s="24" t="s">
        <v>288</v>
      </c>
      <c r="G131" s="24" t="s">
        <v>288</v>
      </c>
    </row>
    <row r="132" spans="1:7" x14ac:dyDescent="0.2">
      <c r="A132" t="s">
        <v>230</v>
      </c>
      <c r="B132" s="32">
        <v>5120</v>
      </c>
      <c r="C132" s="95">
        <f>'DOE25'!L262</f>
        <v>661306.15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348724.31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2712556.29</v>
      </c>
      <c r="D144" s="141">
        <f>SUM(D130:D143)</f>
        <v>0</v>
      </c>
      <c r="E144" s="141">
        <f>SUM(E130:E143)</f>
        <v>0</v>
      </c>
      <c r="F144" s="141">
        <f>SUM(F130:F143)</f>
        <v>1607049.55</v>
      </c>
      <c r="G144" s="141">
        <f>SUM(G130:G143)</f>
        <v>0</v>
      </c>
    </row>
    <row r="145" spans="1:9" ht="12.75" thickTop="1" thickBot="1" x14ac:dyDescent="0.25">
      <c r="A145" s="33" t="s">
        <v>244</v>
      </c>
      <c r="C145" s="86">
        <f>(C115+C128+C144)</f>
        <v>63502384.339999996</v>
      </c>
      <c r="D145" s="86">
        <f>(D115+D128+D144)</f>
        <v>1674095.52</v>
      </c>
      <c r="E145" s="86">
        <f>(E115+E128+E144)</f>
        <v>3275499.29</v>
      </c>
      <c r="F145" s="86">
        <f>(F115+F128+F144)</f>
        <v>1607049.55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182887.05</v>
      </c>
      <c r="D156" s="137">
        <f>'DOE25'!H496</f>
        <v>667000</v>
      </c>
      <c r="E156" s="137">
        <f>'DOE25'!I496</f>
        <v>992571.89000000013</v>
      </c>
      <c r="F156" s="137">
        <f>'DOE25'!J496</f>
        <v>16453557.359999999</v>
      </c>
      <c r="G156" s="138">
        <f>SUM(B156:F156)</f>
        <v>18296016.300000001</v>
      </c>
    </row>
    <row r="157" spans="1:9" x14ac:dyDescent="0.2">
      <c r="A157" s="22" t="s">
        <v>33</v>
      </c>
      <c r="B157" s="137">
        <f>'DOE25'!F497</f>
        <v>0</v>
      </c>
      <c r="C157" s="137">
        <f>'DOE25'!G497</f>
        <v>0</v>
      </c>
      <c r="D157" s="137">
        <f>'DOE25'!H497</f>
        <v>0</v>
      </c>
      <c r="E157" s="137">
        <f>'DOE25'!I497</f>
        <v>0</v>
      </c>
      <c r="F157" s="137">
        <f>'DOE25'!J497</f>
        <v>1065000</v>
      </c>
      <c r="G157" s="138">
        <f t="shared" ref="G157:G164" si="0">SUM(B157:F157)</f>
        <v>1065000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182887.05</v>
      </c>
      <c r="D159" s="137">
        <f>'DOE25'!H499</f>
        <v>492000</v>
      </c>
      <c r="E159" s="137">
        <f>'DOE25'!I499</f>
        <v>823537.95000000019</v>
      </c>
      <c r="F159" s="137">
        <f>'DOE25'!J499</f>
        <v>16347603.619999999</v>
      </c>
      <c r="G159" s="138">
        <f t="shared" si="0"/>
        <v>17846028.620000001</v>
      </c>
    </row>
    <row r="160" spans="1:9" x14ac:dyDescent="0.2">
      <c r="A160" s="22" t="s">
        <v>36</v>
      </c>
      <c r="B160" s="137">
        <f>'DOE25'!F500</f>
        <v>0</v>
      </c>
      <c r="C160" s="137">
        <f>'DOE25'!G500</f>
        <v>1700.49</v>
      </c>
      <c r="D160" s="137">
        <f>'DOE25'!H500</f>
        <v>33792.5</v>
      </c>
      <c r="E160" s="137">
        <f>'DOE25'!I500</f>
        <v>64130.189999999995</v>
      </c>
      <c r="F160" s="137">
        <f>'DOE25'!J500</f>
        <v>4159101.39</v>
      </c>
      <c r="G160" s="138">
        <f t="shared" si="0"/>
        <v>4258724.57</v>
      </c>
    </row>
    <row r="161" spans="1:7" x14ac:dyDescent="0.2">
      <c r="A161" s="22" t="s">
        <v>37</v>
      </c>
      <c r="B161" s="137">
        <f>'DOE25'!F501</f>
        <v>0</v>
      </c>
      <c r="C161" s="137">
        <f>'DOE25'!G501</f>
        <v>184587.53999999998</v>
      </c>
      <c r="D161" s="137">
        <f>'DOE25'!H501</f>
        <v>525792.5</v>
      </c>
      <c r="E161" s="137">
        <f>'DOE25'!I501</f>
        <v>887668.14000000013</v>
      </c>
      <c r="F161" s="137">
        <f>'DOE25'!J501</f>
        <v>20506705.009999998</v>
      </c>
      <c r="G161" s="138">
        <f t="shared" si="0"/>
        <v>22104753.189999998</v>
      </c>
    </row>
    <row r="162" spans="1:7" x14ac:dyDescent="0.2">
      <c r="A162" s="22" t="s">
        <v>38</v>
      </c>
      <c r="B162" s="137">
        <f>'DOE25'!F502</f>
        <v>0</v>
      </c>
      <c r="C162" s="137">
        <f>'DOE25'!G502</f>
        <v>182887.05</v>
      </c>
      <c r="D162" s="137">
        <f>'DOE25'!H502</f>
        <v>175000</v>
      </c>
      <c r="E162" s="137">
        <f>'DOE25'!I502</f>
        <v>164999.45000000001</v>
      </c>
      <c r="F162" s="137">
        <f>'DOE25'!J502</f>
        <v>1207441.46</v>
      </c>
      <c r="G162" s="138">
        <f t="shared" si="0"/>
        <v>1730327.96</v>
      </c>
    </row>
    <row r="163" spans="1:7" x14ac:dyDescent="0.2">
      <c r="A163" s="22" t="s">
        <v>39</v>
      </c>
      <c r="B163" s="137">
        <f>'DOE25'!F503</f>
        <v>0</v>
      </c>
      <c r="C163" s="137">
        <f>'DOE25'!G503</f>
        <v>1700.49</v>
      </c>
      <c r="D163" s="137">
        <f>'DOE25'!H503</f>
        <v>18549</v>
      </c>
      <c r="E163" s="137">
        <f>'DOE25'!I503</f>
        <v>21025.35</v>
      </c>
      <c r="F163" s="137">
        <f>'DOE25'!J503</f>
        <v>594084.36</v>
      </c>
      <c r="G163" s="138">
        <f t="shared" si="0"/>
        <v>635359.19999999995</v>
      </c>
    </row>
    <row r="164" spans="1:7" x14ac:dyDescent="0.2">
      <c r="A164" s="22" t="s">
        <v>246</v>
      </c>
      <c r="B164" s="137">
        <f>'DOE25'!F504</f>
        <v>0</v>
      </c>
      <c r="C164" s="137">
        <f>'DOE25'!G504</f>
        <v>184587.53999999998</v>
      </c>
      <c r="D164" s="137">
        <f>'DOE25'!H504</f>
        <v>193549</v>
      </c>
      <c r="E164" s="137">
        <f>'DOE25'!I504</f>
        <v>186024.80000000002</v>
      </c>
      <c r="F164" s="137">
        <f>'DOE25'!J504</f>
        <v>1801525.8199999998</v>
      </c>
      <c r="G164" s="138">
        <f t="shared" si="0"/>
        <v>2365687.1599999997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 xml:space="preserve">Rochester </v>
      </c>
    </row>
    <row r="3" spans="1:4" x14ac:dyDescent="0.2">
      <c r="B3" s="188" t="s">
        <v>1587</v>
      </c>
    </row>
    <row r="4" spans="1:4" x14ac:dyDescent="0.2">
      <c r="B4" t="s">
        <v>61</v>
      </c>
      <c r="C4" s="179">
        <f>IF('DOE25'!F666+'DOE25'!F671=0,0,ROUND('DOE25'!F673,0))</f>
        <v>15294</v>
      </c>
    </row>
    <row r="5" spans="1:4" x14ac:dyDescent="0.2">
      <c r="B5" t="s">
        <v>700</v>
      </c>
      <c r="C5" s="179">
        <f>IF('DOE25'!G666+'DOE25'!G671=0,0,ROUND('DOE25'!G673,0))</f>
        <v>13399</v>
      </c>
    </row>
    <row r="6" spans="1:4" x14ac:dyDescent="0.2">
      <c r="B6" t="s">
        <v>62</v>
      </c>
      <c r="C6" s="179">
        <f>IF('DOE25'!H666+'DOE25'!H671=0,0,ROUND('DOE25'!H673,0))</f>
        <v>13511</v>
      </c>
    </row>
    <row r="7" spans="1:4" x14ac:dyDescent="0.2">
      <c r="B7" t="s">
        <v>701</v>
      </c>
      <c r="C7" s="179">
        <f>IF('DOE25'!I666+'DOE25'!I671=0,0,ROUND('DOE25'!I673,0))</f>
        <v>14292</v>
      </c>
    </row>
    <row r="9" spans="1:4" x14ac:dyDescent="0.2">
      <c r="A9" s="187" t="s">
        <v>94</v>
      </c>
      <c r="B9" s="188" t="s">
        <v>1588</v>
      </c>
      <c r="C9" s="181" t="s">
        <v>720</v>
      </c>
      <c r="D9" s="181" t="s">
        <v>721</v>
      </c>
    </row>
    <row r="10" spans="1:4" x14ac:dyDescent="0.2">
      <c r="A10">
        <v>1100</v>
      </c>
      <c r="B10" t="s">
        <v>702</v>
      </c>
      <c r="C10" s="179">
        <f>ROUND('DOE25'!L198+'DOE25'!L216+'DOE25'!L234+'DOE25'!L277+'DOE25'!L296+'DOE25'!L315,0)</f>
        <v>24730612</v>
      </c>
      <c r="D10" s="182">
        <f>ROUND((C10/$C$28)*100,1)</f>
        <v>37.5</v>
      </c>
    </row>
    <row r="11" spans="1:4" x14ac:dyDescent="0.2">
      <c r="A11">
        <v>1200</v>
      </c>
      <c r="B11" t="s">
        <v>703</v>
      </c>
      <c r="C11" s="179">
        <f>ROUND('DOE25'!L199+'DOE25'!L217+'DOE25'!L235+'DOE25'!L278+'DOE25'!L297+'DOE25'!L316,0)</f>
        <v>17441284</v>
      </c>
      <c r="D11" s="182">
        <f>ROUND((C11/$C$28)*100,1)</f>
        <v>26.5</v>
      </c>
    </row>
    <row r="12" spans="1:4" x14ac:dyDescent="0.2">
      <c r="A12">
        <v>1300</v>
      </c>
      <c r="B12" t="s">
        <v>704</v>
      </c>
      <c r="C12" s="179">
        <f>ROUND('DOE25'!L200+'DOE25'!L218+'DOE25'!L236+'DOE25'!L279+'DOE25'!L298+'DOE25'!L317,0)</f>
        <v>1793679</v>
      </c>
      <c r="D12" s="182">
        <f>ROUND((C12/$C$28)*100,1)</f>
        <v>2.7</v>
      </c>
    </row>
    <row r="13" spans="1:4" x14ac:dyDescent="0.2">
      <c r="A13">
        <v>1400</v>
      </c>
      <c r="B13" t="s">
        <v>705</v>
      </c>
      <c r="C13" s="179">
        <f>ROUND('DOE25'!L201+'DOE25'!L219+'DOE25'!L237+'DOE25'!L280+'DOE25'!L299+'DOE25'!L318,0)</f>
        <v>646787</v>
      </c>
      <c r="D13" s="182">
        <f>ROUND((C13/$C$28)*100,1)</f>
        <v>1</v>
      </c>
    </row>
    <row r="14" spans="1:4" x14ac:dyDescent="0.2">
      <c r="D14" s="182"/>
    </row>
    <row r="15" spans="1:4" x14ac:dyDescent="0.2">
      <c r="A15">
        <v>2100</v>
      </c>
      <c r="B15" t="s">
        <v>706</v>
      </c>
      <c r="C15" s="179">
        <f>ROUND('DOE25'!L203+'DOE25'!L221+'DOE25'!L239+'DOE25'!L282+'DOE25'!L301+'DOE25'!L320,0)</f>
        <v>2735069</v>
      </c>
      <c r="D15" s="182">
        <f t="shared" ref="D15:D27" si="0">ROUND((C15/$C$28)*100,1)</f>
        <v>4.2</v>
      </c>
    </row>
    <row r="16" spans="1:4" x14ac:dyDescent="0.2">
      <c r="A16">
        <v>2200</v>
      </c>
      <c r="B16" t="s">
        <v>707</v>
      </c>
      <c r="C16" s="179">
        <f>ROUND('DOE25'!L204+'DOE25'!L222+'DOE25'!L240+'DOE25'!L283+'DOE25'!L302+'DOE25'!L321,0)</f>
        <v>2849565</v>
      </c>
      <c r="D16" s="182">
        <f t="shared" si="0"/>
        <v>4.3</v>
      </c>
    </row>
    <row r="17" spans="1:4" x14ac:dyDescent="0.2">
      <c r="A17" s="183" t="s">
        <v>723</v>
      </c>
      <c r="B17" t="s">
        <v>738</v>
      </c>
      <c r="C17" s="179">
        <f>ROUND('DOE25'!L205+'DOE25'!L210+'DOE25'!L223+'DOE25'!L228+'DOE25'!L241+'DOE25'!L246+'DOE25'!L284+'DOE25'!L289+'DOE25'!L303+'DOE25'!L308+'DOE25'!L322+'DOE25'!L327,0)</f>
        <v>2658260</v>
      </c>
      <c r="D17" s="182">
        <f t="shared" si="0"/>
        <v>4</v>
      </c>
    </row>
    <row r="18" spans="1:4" x14ac:dyDescent="0.2">
      <c r="A18">
        <v>2400</v>
      </c>
      <c r="B18" t="s">
        <v>711</v>
      </c>
      <c r="C18" s="179">
        <f>ROUND('DOE25'!L206+'DOE25'!L224+'DOE25'!L242+'DOE25'!L285+'DOE25'!L304+'DOE25'!L323,0)</f>
        <v>3563274</v>
      </c>
      <c r="D18" s="182">
        <f t="shared" si="0"/>
        <v>5.4</v>
      </c>
    </row>
    <row r="19" spans="1:4" x14ac:dyDescent="0.2">
      <c r="A19">
        <v>2500</v>
      </c>
      <c r="B19" t="s">
        <v>708</v>
      </c>
      <c r="C19" s="179">
        <f>ROUND('DOE25'!L207+'DOE25'!L225+'DOE25'!L243+'DOE25'!L286+'DOE25'!L305+'DOE25'!L324,0)</f>
        <v>660124</v>
      </c>
      <c r="D19" s="182">
        <f t="shared" si="0"/>
        <v>1</v>
      </c>
    </row>
    <row r="20" spans="1:4" x14ac:dyDescent="0.2">
      <c r="A20">
        <v>2600</v>
      </c>
      <c r="B20" t="s">
        <v>709</v>
      </c>
      <c r="C20" s="179">
        <f>ROUND('DOE25'!L208+'DOE25'!L226+'DOE25'!L244+'DOE25'!L287+'DOE25'!L306+'DOE25'!L325,0)</f>
        <v>4771782</v>
      </c>
      <c r="D20" s="182">
        <f t="shared" si="0"/>
        <v>7.2</v>
      </c>
    </row>
    <row r="21" spans="1:4" x14ac:dyDescent="0.2">
      <c r="A21">
        <v>2700</v>
      </c>
      <c r="B21" t="s">
        <v>710</v>
      </c>
      <c r="C21" s="179">
        <f>ROUND('DOE25'!L209+'DOE25'!L227+'DOE25'!L245+'DOE25'!L288+'DOE25'!L307+'DOE25'!L326,0)</f>
        <v>2166208</v>
      </c>
      <c r="D21" s="182">
        <f t="shared" si="0"/>
        <v>3.3</v>
      </c>
    </row>
    <row r="22" spans="1:4" x14ac:dyDescent="0.2">
      <c r="A22">
        <v>2900</v>
      </c>
      <c r="B22" t="s">
        <v>712</v>
      </c>
      <c r="C22" s="179">
        <v>0</v>
      </c>
      <c r="D22" s="182">
        <f t="shared" si="0"/>
        <v>0</v>
      </c>
    </row>
    <row r="23" spans="1:4" x14ac:dyDescent="0.2">
      <c r="A23">
        <v>1500</v>
      </c>
      <c r="B23" t="s">
        <v>714</v>
      </c>
      <c r="C23" s="179">
        <f>ROUND('DOE25'!L251+'DOE25'!L333,0)</f>
        <v>15112</v>
      </c>
      <c r="D23" s="182">
        <f t="shared" si="0"/>
        <v>0</v>
      </c>
    </row>
    <row r="24" spans="1:4" x14ac:dyDescent="0.2">
      <c r="A24" s="183" t="s">
        <v>722</v>
      </c>
      <c r="B24" t="s">
        <v>715</v>
      </c>
      <c r="C24" s="179">
        <f>ROUND('DOE25'!L252+'DOE25'!L253+'DOE25'!L254+'DOE25'!L255+'DOE25'!L334+'DOE25'!L335+'DOE25'!L336,0)</f>
        <v>33571</v>
      </c>
      <c r="D24" s="182">
        <f t="shared" si="0"/>
        <v>0.1</v>
      </c>
    </row>
    <row r="25" spans="1:4" x14ac:dyDescent="0.2">
      <c r="A25">
        <v>5120</v>
      </c>
      <c r="B25" t="s">
        <v>716</v>
      </c>
      <c r="C25" s="179">
        <f>ROUND('DOE25'!L262+'DOE25'!L343,0)</f>
        <v>661306</v>
      </c>
      <c r="D25" s="182">
        <f t="shared" si="0"/>
        <v>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1177045.75</v>
      </c>
      <c r="D27" s="182">
        <f t="shared" si="0"/>
        <v>1.8</v>
      </c>
    </row>
    <row r="28" spans="1:4" x14ac:dyDescent="0.2">
      <c r="B28" s="187" t="s">
        <v>719</v>
      </c>
      <c r="C28" s="180">
        <f>SUM(C10:C27)</f>
        <v>65903678.75</v>
      </c>
      <c r="D28" s="184">
        <f>ROUND(SUM(D10:D27),0)</f>
        <v>100</v>
      </c>
    </row>
    <row r="29" spans="1:4" x14ac:dyDescent="0.2">
      <c r="A29">
        <v>4000</v>
      </c>
      <c r="B29" t="s">
        <v>724</v>
      </c>
      <c r="C29" s="179">
        <f>ROUND('DOE25'!L256+'DOE25'!L337+'DOE25'!L375+'DOE25'!L376+'DOE25'!L377+'DOE25'!L378+'DOE25'!L379+'DOE25'!L380+'DOE25'!L381,0)</f>
        <v>1607050</v>
      </c>
    </row>
    <row r="30" spans="1:4" x14ac:dyDescent="0.2">
      <c r="B30" s="187" t="s">
        <v>725</v>
      </c>
      <c r="C30" s="180">
        <f>SUM(C28:C29)</f>
        <v>67510728.75</v>
      </c>
    </row>
    <row r="31" spans="1:4" x14ac:dyDescent="0.2">
      <c r="B31" s="33"/>
      <c r="C31" s="180"/>
    </row>
    <row r="32" spans="1:4" x14ac:dyDescent="0.2">
      <c r="A32">
        <v>5100</v>
      </c>
      <c r="B32" s="33" t="s">
        <v>726</v>
      </c>
      <c r="C32" s="180">
        <f>ROUND('DOE25'!L261+'DOE25'!L342,0)</f>
        <v>1702526</v>
      </c>
    </row>
    <row r="34" spans="1:4" x14ac:dyDescent="0.2">
      <c r="A34" s="187" t="s">
        <v>94</v>
      </c>
      <c r="B34" s="188" t="s">
        <v>1589</v>
      </c>
      <c r="C34" s="181" t="s">
        <v>720</v>
      </c>
      <c r="D34" s="181" t="s">
        <v>721</v>
      </c>
    </row>
    <row r="35" spans="1:4" x14ac:dyDescent="0.2">
      <c r="A35">
        <v>1100</v>
      </c>
      <c r="B35" s="185" t="s">
        <v>727</v>
      </c>
      <c r="C35" s="179">
        <f>ROUND('DOE25'!F60+'DOE25'!G60+'DOE25'!H60+'DOE25'!I60+'DOE25'!J60,0)</f>
        <v>32453514</v>
      </c>
      <c r="D35" s="182">
        <f t="shared" ref="D35:D40" si="1">ROUND((C35/$C$41)*100,1)</f>
        <v>45.8</v>
      </c>
    </row>
    <row r="36" spans="1:4" x14ac:dyDescent="0.2">
      <c r="B36" s="185" t="s">
        <v>739</v>
      </c>
      <c r="C36" s="179">
        <f>SUM('DOE25'!F112:J112)-SUM('DOE25'!G97:G110)+('DOE25'!F175+'DOE25'!F176+'DOE25'!I175+'DOE25'!I176)-C35</f>
        <v>3575120.1000000015</v>
      </c>
      <c r="D36" s="182">
        <f t="shared" si="1"/>
        <v>5</v>
      </c>
    </row>
    <row r="37" spans="1:4" x14ac:dyDescent="0.2">
      <c r="A37" s="183" t="s">
        <v>835</v>
      </c>
      <c r="B37" s="185" t="s">
        <v>728</v>
      </c>
      <c r="C37" s="179">
        <f>ROUND('DOE25'!F117+'DOE25'!F118,0)</f>
        <v>28894922</v>
      </c>
      <c r="D37" s="182">
        <f t="shared" si="1"/>
        <v>40.799999999999997</v>
      </c>
    </row>
    <row r="38" spans="1:4" x14ac:dyDescent="0.2">
      <c r="A38" s="183" t="s">
        <v>734</v>
      </c>
      <c r="B38" s="185" t="s">
        <v>729</v>
      </c>
      <c r="C38" s="179">
        <f>ROUND(SUM('DOE25'!F140:J140)-SUM('DOE25'!F117:F119),0)</f>
        <v>1169172</v>
      </c>
      <c r="D38" s="182">
        <f t="shared" si="1"/>
        <v>1.6</v>
      </c>
    </row>
    <row r="39" spans="1:4" x14ac:dyDescent="0.2">
      <c r="A39">
        <v>4000</v>
      </c>
      <c r="B39" s="185" t="s">
        <v>730</v>
      </c>
      <c r="C39" s="179">
        <f>ROUND('DOE25'!F170+'DOE25'!G170+'DOE25'!H170+'DOE25'!I170,0)</f>
        <v>4779394</v>
      </c>
      <c r="D39" s="182">
        <f t="shared" si="1"/>
        <v>6.7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70872122.099999994</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 xml:space="preserve">Rochester </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v>19</v>
      </c>
      <c r="B4" s="219" t="s">
        <v>1642</v>
      </c>
      <c r="C4" s="357" t="s">
        <v>1645</v>
      </c>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v>19</v>
      </c>
      <c r="B5" s="219" t="s">
        <v>1643</v>
      </c>
      <c r="C5" s="357" t="s">
        <v>1646</v>
      </c>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v>19</v>
      </c>
      <c r="B8" s="219" t="s">
        <v>1644</v>
      </c>
      <c r="C8" s="357" t="s">
        <v>1647</v>
      </c>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2020-12-03T16:21:27Z</cp:lastPrinted>
  <dcterms:created xsi:type="dcterms:W3CDTF">1997-12-04T19:04:30Z</dcterms:created>
  <dcterms:modified xsi:type="dcterms:W3CDTF">2020-12-11T20:35:41Z</dcterms:modified>
</cp:coreProperties>
</file>