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8800" windowHeight="1170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'DOE25'!$A$1:$L$673</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666" i="1" l="1"/>
  <c r="H154" i="1" l="1"/>
  <c r="F13" i="1" l="1"/>
  <c r="F12" i="1"/>
  <c r="F48" i="1" l="1"/>
  <c r="D37" i="14" l="1"/>
  <c r="D9" i="14"/>
  <c r="E9" i="14"/>
  <c r="I198" i="1"/>
  <c r="I277" i="1"/>
  <c r="F474" i="1" l="1"/>
  <c r="F22" i="1" l="1"/>
  <c r="C30" i="12" l="1"/>
  <c r="B30" i="12"/>
  <c r="G236" i="1"/>
  <c r="F236" i="1"/>
  <c r="F29" i="1"/>
  <c r="H24" i="1" l="1"/>
  <c r="H466" i="1"/>
  <c r="I473" i="1" l="1"/>
  <c r="J379" i="1"/>
  <c r="I466" i="1" l="1"/>
  <c r="I9" i="1"/>
  <c r="D25" i="14" l="1"/>
  <c r="F12" i="13" l="1"/>
  <c r="F14" i="13" l="1"/>
  <c r="F13" i="13"/>
  <c r="F15" i="13" l="1"/>
  <c r="F6" i="13"/>
  <c r="I236" i="1" l="1"/>
  <c r="J240" i="1"/>
  <c r="H245" i="1"/>
  <c r="H227" i="1"/>
  <c r="H209" i="1"/>
  <c r="I234" i="1"/>
  <c r="H235" i="1"/>
  <c r="I204" i="1"/>
  <c r="I280" i="1"/>
  <c r="H282" i="1"/>
  <c r="H336" i="1" l="1"/>
  <c r="K345" i="1" l="1"/>
  <c r="F282" i="1"/>
  <c r="H277" i="1"/>
  <c r="I302" i="1" l="1"/>
  <c r="H302" i="1"/>
  <c r="G302" i="1"/>
  <c r="F302" i="1"/>
  <c r="F301" i="1"/>
  <c r="I299" i="1"/>
  <c r="H299" i="1"/>
  <c r="G299" i="1"/>
  <c r="F299" i="1"/>
  <c r="G297" i="1"/>
  <c r="F297" i="1"/>
  <c r="H296" i="1"/>
  <c r="F296" i="1"/>
  <c r="H305" i="1"/>
  <c r="G305" i="1"/>
  <c r="G296" i="1"/>
  <c r="I283" i="1"/>
  <c r="H283" i="1"/>
  <c r="G283" i="1"/>
  <c r="H280" i="1"/>
  <c r="G280" i="1"/>
  <c r="G278" i="1"/>
  <c r="G277" i="1"/>
  <c r="F283" i="1"/>
  <c r="F280" i="1"/>
  <c r="F278" i="1"/>
  <c r="F277" i="1"/>
  <c r="H102" i="1" l="1"/>
  <c r="J605" i="1" l="1"/>
  <c r="K201" i="1"/>
  <c r="H226" i="1" l="1"/>
  <c r="K224" i="1"/>
  <c r="I224" i="1"/>
  <c r="H224" i="1"/>
  <c r="G224" i="1"/>
  <c r="F224" i="1"/>
  <c r="J222" i="1"/>
  <c r="I222" i="1"/>
  <c r="H222" i="1"/>
  <c r="G222" i="1"/>
  <c r="F222" i="1"/>
  <c r="I221" i="1"/>
  <c r="H221" i="1"/>
  <c r="G221" i="1"/>
  <c r="F221" i="1"/>
  <c r="K219" i="1"/>
  <c r="H219" i="1"/>
  <c r="G219" i="1"/>
  <c r="F219" i="1"/>
  <c r="K217" i="1"/>
  <c r="J217" i="1"/>
  <c r="I217" i="1"/>
  <c r="H217" i="1"/>
  <c r="G217" i="1"/>
  <c r="F217" i="1"/>
  <c r="J216" i="1"/>
  <c r="I216" i="1"/>
  <c r="H216" i="1"/>
  <c r="G216" i="1"/>
  <c r="F216" i="1"/>
  <c r="H208" i="1"/>
  <c r="K206" i="1"/>
  <c r="I206" i="1"/>
  <c r="H206" i="1"/>
  <c r="G206" i="1"/>
  <c r="F206" i="1"/>
  <c r="J204" i="1"/>
  <c r="H204" i="1"/>
  <c r="G204" i="1"/>
  <c r="F204" i="1"/>
  <c r="I203" i="1"/>
  <c r="H203" i="1"/>
  <c r="G203" i="1"/>
  <c r="F203" i="1"/>
  <c r="G201" i="1"/>
  <c r="F201" i="1"/>
  <c r="I199" i="1"/>
  <c r="H199" i="1"/>
  <c r="G199" i="1"/>
  <c r="F199" i="1"/>
  <c r="J198" i="1"/>
  <c r="H198" i="1"/>
  <c r="G198" i="1"/>
  <c r="F198" i="1"/>
  <c r="F469" i="1" l="1"/>
  <c r="F49" i="1" l="1"/>
  <c r="F110" i="1" l="1"/>
  <c r="F63" i="1"/>
  <c r="I49" i="1" l="1"/>
  <c r="J469" i="1" l="1"/>
  <c r="J503" i="1" l="1"/>
  <c r="J502" i="1"/>
  <c r="I503" i="1"/>
  <c r="F503" i="1"/>
  <c r="G503" i="1"/>
  <c r="H503" i="1"/>
  <c r="G499" i="1"/>
  <c r="H499" i="1"/>
  <c r="I499" i="1"/>
  <c r="J499" i="1"/>
  <c r="F499"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12" i="14"/>
  <c r="C13" i="14"/>
  <c r="C14" i="14"/>
  <c r="C15" i="14"/>
  <c r="C16" i="14"/>
  <c r="C17" i="14"/>
  <c r="C18" i="14"/>
  <c r="C19" i="14"/>
  <c r="C20" i="14"/>
  <c r="B6" i="14"/>
  <c r="C6" i="14" s="1"/>
  <c r="B7" i="14"/>
  <c r="C7" i="14" s="1"/>
  <c r="B8" i="14"/>
  <c r="C8" i="14" s="1"/>
  <c r="B9" i="14"/>
  <c r="C9" i="14" s="1"/>
  <c r="B10" i="14"/>
  <c r="C10" i="14" s="1"/>
  <c r="B11" i="14"/>
  <c r="C11" i="14" s="1"/>
  <c r="B12" i="14"/>
  <c r="B13" i="14"/>
  <c r="B14" i="14"/>
  <c r="B15" i="14"/>
  <c r="B16" i="14"/>
  <c r="B17" i="14"/>
  <c r="B18" i="14"/>
  <c r="B19" i="14"/>
  <c r="B20" i="14"/>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C37" i="10" l="1"/>
  <c r="F40" i="2" l="1"/>
  <c r="D39" i="2"/>
  <c r="G656" i="1"/>
  <c r="F48" i="2"/>
  <c r="E48" i="2"/>
  <c r="D48" i="2"/>
  <c r="C48"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J652" i="1" s="1"/>
  <c r="G17" i="13"/>
  <c r="H17" i="13"/>
  <c r="L252" i="1"/>
  <c r="G18" i="13"/>
  <c r="H18" i="13"/>
  <c r="L253" i="1"/>
  <c r="G19" i="13"/>
  <c r="H19" i="13"/>
  <c r="L254" i="1"/>
  <c r="G29" i="13"/>
  <c r="H29" i="13"/>
  <c r="L359" i="1"/>
  <c r="L360" i="1"/>
  <c r="L361" i="1"/>
  <c r="I368" i="1"/>
  <c r="J291" i="1"/>
  <c r="J310" i="1"/>
  <c r="J329" i="1"/>
  <c r="K291" i="1"/>
  <c r="K310" i="1"/>
  <c r="K329" i="1"/>
  <c r="L277" i="1"/>
  <c r="L278" i="1"/>
  <c r="L279" i="1"/>
  <c r="L280" i="1"/>
  <c r="E112" i="2" s="1"/>
  <c r="L282" i="1"/>
  <c r="L283" i="1"/>
  <c r="L284" i="1"/>
  <c r="E120" i="2" s="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E121" i="2" s="1"/>
  <c r="L324" i="1"/>
  <c r="L325" i="1"/>
  <c r="L326" i="1"/>
  <c r="H663" i="1" s="1"/>
  <c r="L327" i="1"/>
  <c r="L334" i="1"/>
  <c r="L335" i="1"/>
  <c r="L336" i="1"/>
  <c r="L261" i="1"/>
  <c r="L262" i="1"/>
  <c r="C132" i="2" s="1"/>
  <c r="L342" i="1"/>
  <c r="C32" i="10" s="1"/>
  <c r="L343" i="1"/>
  <c r="E132" i="2" s="1"/>
  <c r="L256" i="1"/>
  <c r="L337" i="1"/>
  <c r="E130" i="2" s="1"/>
  <c r="C11" i="13"/>
  <c r="C10" i="13"/>
  <c r="C9" i="13"/>
  <c r="L362" i="1"/>
  <c r="B4" i="12"/>
  <c r="B36" i="12"/>
  <c r="A40" i="12" s="1"/>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56" i="2" s="1"/>
  <c r="F79" i="1"/>
  <c r="C57" i="2" s="1"/>
  <c r="F94" i="1"/>
  <c r="F111" i="1"/>
  <c r="G111" i="1"/>
  <c r="H79" i="1"/>
  <c r="H94" i="1"/>
  <c r="H111" i="1"/>
  <c r="I111" i="1"/>
  <c r="I112" i="1" s="1"/>
  <c r="J111" i="1"/>
  <c r="J112" i="1" s="1"/>
  <c r="F121" i="1"/>
  <c r="F136" i="1"/>
  <c r="G121" i="1"/>
  <c r="G136" i="1"/>
  <c r="H121" i="1"/>
  <c r="H136" i="1"/>
  <c r="I121" i="1"/>
  <c r="I136" i="1"/>
  <c r="J121" i="1"/>
  <c r="J136" i="1"/>
  <c r="J140" i="1" s="1"/>
  <c r="F147" i="1"/>
  <c r="F170" i="1" s="1"/>
  <c r="G147" i="1"/>
  <c r="D85" i="2" s="1"/>
  <c r="H147" i="1"/>
  <c r="H170" i="1" s="1"/>
  <c r="I147" i="1"/>
  <c r="F85" i="2" s="1"/>
  <c r="L251" i="1"/>
  <c r="C113" i="2" s="1"/>
  <c r="L333" i="1"/>
  <c r="E113" i="2" s="1"/>
  <c r="L255" i="1"/>
  <c r="L269" i="1"/>
  <c r="L270" i="1"/>
  <c r="L350" i="1"/>
  <c r="E142" i="2" s="1"/>
  <c r="L351" i="1"/>
  <c r="E143" i="2" s="1"/>
  <c r="I666" i="1"/>
  <c r="I671" i="1"/>
  <c r="I670" i="1"/>
  <c r="C42" i="10"/>
  <c r="L375" i="1"/>
  <c r="L376" i="1"/>
  <c r="L377" i="1"/>
  <c r="L378" i="1"/>
  <c r="L379" i="1"/>
  <c r="L380" i="1"/>
  <c r="L381" i="1"/>
  <c r="B2" i="10"/>
  <c r="L345" i="1"/>
  <c r="E134" i="2" s="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D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D115" i="2"/>
  <c r="F115" i="2"/>
  <c r="G115" i="2"/>
  <c r="E125" i="2"/>
  <c r="F128" i="2"/>
  <c r="G128" i="2"/>
  <c r="C130" i="2"/>
  <c r="D134" i="2"/>
  <c r="D144" i="2" s="1"/>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F50" i="1" s="1"/>
  <c r="G19" i="1"/>
  <c r="H19" i="1"/>
  <c r="I19" i="1"/>
  <c r="F32" i="1"/>
  <c r="G32" i="1"/>
  <c r="H32" i="1"/>
  <c r="I32"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J572" i="1" s="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H628" i="1"/>
  <c r="H629" i="1"/>
  <c r="H630" i="1"/>
  <c r="H631" i="1"/>
  <c r="H632" i="1"/>
  <c r="H633" i="1"/>
  <c r="H634" i="1"/>
  <c r="H636" i="1"/>
  <c r="H637" i="1"/>
  <c r="H638" i="1"/>
  <c r="H639" i="1"/>
  <c r="G644" i="1"/>
  <c r="G645" i="1"/>
  <c r="G653" i="1"/>
  <c r="H653" i="1"/>
  <c r="G654" i="1"/>
  <c r="H654" i="1"/>
  <c r="G655" i="1"/>
  <c r="H655" i="1"/>
  <c r="H656" i="1"/>
  <c r="J656" i="1" s="1"/>
  <c r="H140" i="1"/>
  <c r="H48" i="1" l="1"/>
  <c r="H51" i="1" s="1"/>
  <c r="G625" i="1" s="1"/>
  <c r="G620" i="1"/>
  <c r="E47" i="2"/>
  <c r="E50" i="2" s="1"/>
  <c r="H477" i="1"/>
  <c r="H625" i="1" s="1"/>
  <c r="G618" i="1"/>
  <c r="E124" i="2"/>
  <c r="C112" i="2"/>
  <c r="C12" i="10"/>
  <c r="I409" i="1"/>
  <c r="F258" i="1"/>
  <c r="F272" i="1" s="1"/>
  <c r="I170" i="1"/>
  <c r="H409" i="1"/>
  <c r="H645" i="1" s="1"/>
  <c r="K339" i="1"/>
  <c r="K353" i="1" s="1"/>
  <c r="G339" i="1"/>
  <c r="G353" i="1" s="1"/>
  <c r="E123" i="2"/>
  <c r="E119" i="2"/>
  <c r="E110" i="2"/>
  <c r="G663" i="1"/>
  <c r="C119" i="2"/>
  <c r="C13" i="10"/>
  <c r="C125" i="2"/>
  <c r="J258" i="1"/>
  <c r="J272" i="1" s="1"/>
  <c r="G553" i="1"/>
  <c r="G62" i="2"/>
  <c r="C121" i="2"/>
  <c r="C120" i="2"/>
  <c r="G477" i="1"/>
  <c r="E111" i="2"/>
  <c r="C85" i="2"/>
  <c r="C91" i="2" s="1"/>
  <c r="A31" i="12"/>
  <c r="D18" i="13"/>
  <c r="C18" i="13" s="1"/>
  <c r="G621" i="1"/>
  <c r="I48" i="1"/>
  <c r="C11" i="10"/>
  <c r="E114" i="2"/>
  <c r="D15" i="13"/>
  <c r="C15" i="13" s="1"/>
  <c r="C20" i="10"/>
  <c r="D6" i="13"/>
  <c r="C6" i="13" s="1"/>
  <c r="E13" i="13"/>
  <c r="C13" i="13" s="1"/>
  <c r="G646" i="1"/>
  <c r="J646" i="1" s="1"/>
  <c r="G619" i="1"/>
  <c r="G48" i="1"/>
  <c r="E85" i="2"/>
  <c r="E91" i="2" s="1"/>
  <c r="L402" i="1"/>
  <c r="C139" i="2" s="1"/>
  <c r="G651" i="1"/>
  <c r="J651" i="1" s="1"/>
  <c r="L257" i="1"/>
  <c r="H193" i="1"/>
  <c r="H462" i="1"/>
  <c r="H642" i="1" s="1"/>
  <c r="J642" i="1" s="1"/>
  <c r="H112" i="1"/>
  <c r="H194" i="1" s="1"/>
  <c r="G630" i="1" s="1"/>
  <c r="J630" i="1" s="1"/>
  <c r="I370" i="1"/>
  <c r="H635" i="1" s="1"/>
  <c r="J635" i="1" s="1"/>
  <c r="G662" i="1"/>
  <c r="F339" i="1"/>
  <c r="F353" i="1" s="1"/>
  <c r="L561" i="1"/>
  <c r="G462" i="1"/>
  <c r="H641" i="1" s="1"/>
  <c r="J641" i="1" s="1"/>
  <c r="E103" i="2"/>
  <c r="D18" i="2"/>
  <c r="H553" i="1"/>
  <c r="L310" i="1"/>
  <c r="I546" i="1"/>
  <c r="F462" i="1"/>
  <c r="H640" i="1" s="1"/>
  <c r="J640" i="1" s="1"/>
  <c r="K606" i="1"/>
  <c r="G649" i="1" s="1"/>
  <c r="H258" i="1"/>
  <c r="H272" i="1" s="1"/>
  <c r="D31" i="2"/>
  <c r="E31" i="2"/>
  <c r="C18" i="2"/>
  <c r="F18" i="2"/>
  <c r="L271" i="1"/>
  <c r="F662" i="1"/>
  <c r="F572" i="1"/>
  <c r="L420" i="1"/>
  <c r="D91" i="2"/>
  <c r="D81" i="2"/>
  <c r="E78" i="2"/>
  <c r="G546" i="1"/>
  <c r="J644" i="1"/>
  <c r="F112" i="1"/>
  <c r="L394" i="1"/>
  <c r="C138" i="2" s="1"/>
  <c r="L363" i="1"/>
  <c r="B17" i="16" s="1"/>
  <c r="B19" i="16" s="1"/>
  <c r="B28" i="16"/>
  <c r="L329" i="1"/>
  <c r="E122" i="2"/>
  <c r="L291" i="1"/>
  <c r="H624" i="1"/>
  <c r="B33" i="16"/>
  <c r="L615" i="1"/>
  <c r="K599" i="1"/>
  <c r="G648" i="1" s="1"/>
  <c r="K572" i="1"/>
  <c r="L571" i="1"/>
  <c r="H572" i="1"/>
  <c r="L566" i="1"/>
  <c r="L572" i="1" s="1"/>
  <c r="I572" i="1"/>
  <c r="K546" i="1"/>
  <c r="C114" i="2"/>
  <c r="G112" i="1"/>
  <c r="B10" i="16" s="1"/>
  <c r="E118" i="2"/>
  <c r="L248" i="1"/>
  <c r="L212" i="1"/>
  <c r="H648" i="1"/>
  <c r="J645"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L434" i="1"/>
  <c r="L428" i="1"/>
  <c r="I258" i="1"/>
  <c r="I272" i="1" s="1"/>
  <c r="K258" i="1"/>
  <c r="K272" i="1" s="1"/>
  <c r="G193" i="1"/>
  <c r="B13" i="16" s="1"/>
  <c r="F193" i="1"/>
  <c r="J553" i="1"/>
  <c r="I553" i="1"/>
  <c r="K550" i="1"/>
  <c r="F553" i="1"/>
  <c r="L352" i="1"/>
  <c r="F130" i="2"/>
  <c r="F144" i="2" s="1"/>
  <c r="F145" i="2" s="1"/>
  <c r="G170" i="1"/>
  <c r="B12" i="16" s="1"/>
  <c r="K552" i="1"/>
  <c r="I25" i="13"/>
  <c r="K551"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F31" i="2"/>
  <c r="C31" i="2"/>
  <c r="E18" i="2"/>
  <c r="E144" i="2"/>
  <c r="C24" i="10"/>
  <c r="H31" i="13"/>
  <c r="H33" i="13" s="1"/>
  <c r="I339" i="1"/>
  <c r="I353" i="1" s="1"/>
  <c r="L408" i="1"/>
  <c r="C140" i="2" s="1"/>
  <c r="I193" i="1"/>
  <c r="J655" i="1"/>
  <c r="J654" i="1"/>
  <c r="G21" i="2"/>
  <c r="G31" i="2" s="1"/>
  <c r="J32" i="1"/>
  <c r="J435" i="1"/>
  <c r="F435" i="1"/>
  <c r="K435" i="1"/>
  <c r="G134" i="2" s="1"/>
  <c r="G144" i="2" s="1"/>
  <c r="G145" i="2" s="1"/>
  <c r="G31" i="13"/>
  <c r="J194" i="1"/>
  <c r="G647" i="1" s="1"/>
  <c r="G140" i="1"/>
  <c r="B11" i="16" s="1"/>
  <c r="F140" i="1"/>
  <c r="G63" i="2"/>
  <c r="G42" i="2"/>
  <c r="G50" i="2" s="1"/>
  <c r="J51" i="1"/>
  <c r="G16" i="2"/>
  <c r="G18" i="2" s="1"/>
  <c r="J19" i="1"/>
  <c r="G622" i="1" s="1"/>
  <c r="F546" i="1"/>
  <c r="H435" i="1"/>
  <c r="D103" i="2"/>
  <c r="I140" i="1"/>
  <c r="A22" i="12"/>
  <c r="J653" i="1"/>
  <c r="G572" i="1"/>
  <c r="I435" i="1"/>
  <c r="G435" i="1"/>
  <c r="I664" i="1"/>
  <c r="F661" i="1" l="1"/>
  <c r="H52" i="1"/>
  <c r="H620" i="1" s="1"/>
  <c r="J620" i="1" s="1"/>
  <c r="J625" i="1"/>
  <c r="H661" i="1"/>
  <c r="H665" i="1" s="1"/>
  <c r="H668" i="1" s="1"/>
  <c r="E128" i="2"/>
  <c r="F194" i="1"/>
  <c r="G628" i="1" s="1"/>
  <c r="J628" i="1" s="1"/>
  <c r="F51" i="1"/>
  <c r="C49" i="2"/>
  <c r="C50" i="2" s="1"/>
  <c r="C51" i="2" s="1"/>
  <c r="H649" i="1"/>
  <c r="J649" i="1" s="1"/>
  <c r="G36" i="14"/>
  <c r="H36" i="14" s="1"/>
  <c r="I36" i="14" s="1"/>
  <c r="G24" i="14"/>
  <c r="H24" i="14" s="1"/>
  <c r="I24" i="14" s="1"/>
  <c r="E115" i="2"/>
  <c r="C81" i="2"/>
  <c r="F47" i="2"/>
  <c r="F50" i="2" s="1"/>
  <c r="F51" i="2" s="1"/>
  <c r="I51" i="1"/>
  <c r="C141" i="2"/>
  <c r="C144" i="2" s="1"/>
  <c r="E51" i="2"/>
  <c r="G51" i="1"/>
  <c r="D47" i="2"/>
  <c r="D50" i="2" s="1"/>
  <c r="D51" i="2" s="1"/>
  <c r="E104" i="2"/>
  <c r="C36" i="10"/>
  <c r="L435" i="1"/>
  <c r="G639" i="1" s="1"/>
  <c r="J639" i="1" s="1"/>
  <c r="F665" i="1"/>
  <c r="F668" i="1" s="1"/>
  <c r="I662" i="1"/>
  <c r="G104" i="2"/>
  <c r="L339" i="1"/>
  <c r="L353" i="1" s="1"/>
  <c r="G634" i="1" s="1"/>
  <c r="J634" i="1" s="1"/>
  <c r="I194" i="1"/>
  <c r="G631" i="1" s="1"/>
  <c r="J631" i="1" s="1"/>
  <c r="G636" i="1"/>
  <c r="J636" i="1" s="1"/>
  <c r="G51" i="2"/>
  <c r="D104" i="2"/>
  <c r="L409" i="1"/>
  <c r="C27" i="10"/>
  <c r="C28" i="10" s="1"/>
  <c r="D23" i="10" s="1"/>
  <c r="G4" i="14"/>
  <c r="H4" i="14" s="1"/>
  <c r="I4" i="14" s="1"/>
  <c r="L54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G632" i="1"/>
  <c r="J632" i="1" s="1"/>
  <c r="G194" i="1"/>
  <c r="G629" i="1" s="1"/>
  <c r="J629" i="1" s="1"/>
  <c r="G627" i="1"/>
  <c r="J627" i="1" s="1"/>
  <c r="J52" i="1"/>
  <c r="H622" i="1" s="1"/>
  <c r="J622" i="1" s="1"/>
  <c r="C38" i="10"/>
  <c r="E145" i="2" l="1"/>
  <c r="C104" i="2"/>
  <c r="G623" i="1"/>
  <c r="J623" i="1" s="1"/>
  <c r="F52" i="1"/>
  <c r="H618" i="1" s="1"/>
  <c r="J618" i="1" s="1"/>
  <c r="I52" i="1"/>
  <c r="H621" i="1" s="1"/>
  <c r="J621" i="1" s="1"/>
  <c r="G626" i="1"/>
  <c r="J626" i="1" s="1"/>
  <c r="G624" i="1"/>
  <c r="J624" i="1" s="1"/>
  <c r="G52" i="1"/>
  <c r="H619" i="1" s="1"/>
  <c r="J619" i="1" s="1"/>
  <c r="F673" i="1"/>
  <c r="C4" i="10" s="1"/>
  <c r="H673" i="1"/>
  <c r="C6"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<sst xmlns="http://schemas.openxmlformats.org/spreadsheetml/2006/main" count="5563" uniqueCount="1654">
  <si>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</si>
  <si>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</si>
  <si>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</si>
  <si>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</si>
  <si>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</si>
  <si>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</si>
  <si>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</si>
  <si>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</si>
  <si>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</si>
  <si>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</si>
  <si>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</si>
  <si>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</si>
  <si>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</si>
  <si>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</si>
  <si>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</si>
  <si>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</si>
  <si>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</si>
  <si>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</si>
  <si>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</si>
  <si>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</si>
  <si>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</si>
  <si>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</si>
  <si>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</si>
  <si>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</si>
  <si>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</si>
  <si>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</si>
  <si>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</si>
  <si>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</si>
  <si>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</si>
  <si>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</si>
  <si>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</si>
  <si>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</si>
  <si>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</si>
  <si>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</si>
  <si>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</si>
  <si>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</si>
  <si>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</si>
  <si>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</si>
  <si>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</si>
  <si>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</si>
  <si>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</si>
  <si>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</si>
  <si>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</si>
  <si>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</si>
  <si>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</si>
  <si>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</si>
  <si>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</si>
  <si>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</si>
  <si>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</si>
  <si>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</si>
  <si>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</si>
  <si>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</si>
  <si>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</si>
  <si>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</si>
  <si>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</si>
  <si>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</si>
  <si>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</si>
  <si>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</si>
  <si>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</si>
  <si>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</si>
  <si>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</si>
  <si>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</si>
  <si>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</si>
  <si>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</si>
  <si>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</si>
  <si>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</si>
  <si>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</si>
  <si>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</si>
  <si>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</si>
  <si>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</si>
  <si>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</si>
  <si>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</si>
  <si>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</si>
  <si>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</si>
  <si>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</si>
  <si>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</si>
  <si>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</si>
  <si>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</si>
  <si>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</si>
  <si>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</si>
  <si>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</si>
  <si>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</si>
  <si>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</si>
  <si>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</si>
  <si>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</si>
  <si>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</si>
  <si>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</si>
  <si>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</si>
  <si>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</si>
  <si>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</si>
  <si>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</si>
  <si>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</si>
  <si>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</si>
  <si>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</si>
  <si>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</si>
  <si>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</si>
  <si>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</si>
  <si>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</si>
  <si>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</si>
  <si>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</si>
  <si>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</si>
  <si>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</si>
  <si>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</si>
  <si>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</si>
  <si>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</si>
  <si>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</si>
  <si>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</si>
  <si>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</si>
  <si>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</si>
  <si>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</si>
  <si>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</si>
  <si>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</si>
  <si>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</si>
  <si>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</si>
  <si>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</si>
  <si>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</si>
  <si>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</si>
  <si>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</si>
  <si>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</si>
  <si>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</si>
  <si>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</si>
  <si>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</si>
  <si>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</si>
  <si>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</si>
  <si>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</si>
  <si>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</si>
  <si>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</si>
  <si>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</si>
  <si>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</si>
  <si>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</si>
  <si>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</si>
  <si>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</si>
  <si>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</si>
  <si>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</si>
  <si>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</si>
  <si>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</si>
  <si>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</si>
  <si>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</si>
  <si>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</si>
  <si>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</si>
  <si>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</si>
  <si>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</si>
  <si>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</si>
  <si>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</si>
  <si>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</si>
  <si>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</si>
  <si>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</si>
  <si>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</si>
  <si>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</si>
  <si>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</si>
  <si>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</si>
  <si>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</si>
  <si>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</si>
  <si>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</si>
  <si>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</si>
  <si>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</si>
  <si>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</si>
  <si>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</si>
  <si>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</si>
  <si>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</si>
  <si>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</si>
  <si>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</si>
  <si>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</si>
  <si>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</si>
  <si>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</si>
  <si>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</si>
  <si>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</si>
  <si>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</si>
  <si>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</si>
  <si>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</si>
  <si>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</si>
  <si>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</si>
  <si>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</si>
  <si>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</si>
  <si>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</si>
  <si>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</si>
  <si>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</si>
  <si>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</si>
  <si>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</si>
  <si>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</si>
  <si>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</si>
  <si>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</si>
  <si>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</si>
  <si>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</si>
  <si>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</si>
  <si>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</si>
  <si>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</si>
  <si>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</si>
  <si>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</si>
  <si>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</si>
  <si>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</si>
  <si>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</si>
  <si>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</si>
  <si>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</si>
  <si>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</si>
  <si>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</si>
  <si>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</si>
  <si>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</si>
  <si>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</si>
  <si>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</si>
  <si>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</si>
  <si>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</si>
  <si>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</si>
  <si>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</si>
  <si>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</si>
  <si>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</si>
  <si>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</si>
  <si>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</si>
  <si>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</si>
  <si>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</si>
  <si>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</si>
  <si>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</si>
  <si>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</si>
  <si>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</si>
  <si>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</si>
  <si>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</si>
  <si>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</si>
  <si>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</si>
  <si>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</si>
  <si>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</si>
  <si>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</si>
  <si>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</si>
  <si>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</si>
  <si>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</si>
  <si>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</si>
  <si>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</si>
  <si>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</si>
  <si>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</si>
  <si>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</si>
  <si>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</si>
  <si>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</si>
  <si>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</si>
  <si>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</si>
  <si>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</si>
  <si>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</si>
  <si>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</si>
  <si>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</si>
  <si>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</si>
  <si>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</si>
  <si>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</si>
  <si>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</si>
  <si>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</si>
  <si>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</si>
  <si>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</si>
  <si>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</si>
  <si>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</si>
  <si>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</si>
  <si>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</si>
  <si>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</si>
  <si>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</si>
  <si>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</si>
  <si>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</si>
  <si>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</si>
  <si>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</si>
  <si>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</si>
  <si>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</si>
  <si>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</si>
  <si>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</si>
  <si>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</si>
  <si>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</si>
  <si>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</si>
  <si>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</si>
  <si>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</si>
  <si>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</si>
  <si>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</si>
  <si>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</si>
  <si>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</si>
  <si>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</si>
  <si>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</si>
  <si>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</si>
  <si>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</si>
  <si>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</si>
  <si>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</si>
  <si>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</si>
  <si>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</si>
  <si>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</si>
  <si>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</si>
  <si>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</si>
  <si>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</si>
  <si>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</si>
  <si>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</si>
  <si>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</si>
  <si>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</si>
  <si>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</si>
  <si>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</si>
  <si>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</si>
  <si>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</si>
  <si>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</si>
  <si>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</si>
  <si>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</si>
  <si>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</si>
  <si>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</si>
  <si>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</si>
  <si>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</si>
  <si>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</si>
  <si>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</si>
  <si>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</si>
  <si>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</si>
  <si>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</si>
  <si>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</si>
  <si>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</si>
  <si>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</si>
  <si>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</si>
  <si>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</si>
  <si>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</si>
  <si>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</si>
  <si>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</si>
  <si>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</si>
  <si>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</si>
  <si>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</si>
  <si>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</si>
  <si>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</si>
  <si>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</si>
  <si>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</si>
  <si>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</si>
  <si>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</si>
  <si>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</si>
  <si>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</si>
  <si>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</si>
  <si>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</si>
  <si>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</si>
  <si>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</si>
  <si>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</si>
  <si>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</si>
  <si>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</si>
  <si>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</si>
  <si>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</si>
  <si>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</si>
  <si>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</si>
  <si>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</si>
  <si>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</si>
  <si>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</si>
  <si>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</si>
  <si>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</si>
  <si>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</si>
  <si>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</si>
  <si>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</si>
  <si>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</si>
  <si>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</si>
  <si>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</si>
  <si>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</si>
  <si>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</si>
  <si>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</si>
  <si>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</si>
  <si>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</si>
  <si>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</si>
  <si>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</si>
  <si>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</si>
  <si>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</si>
  <si>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</si>
  <si>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</si>
  <si>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</si>
  <si>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</si>
  <si>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</si>
  <si>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</si>
  <si>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</si>
  <si>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</si>
  <si>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</si>
  <si>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</si>
  <si>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</si>
  <si>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</si>
  <si>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</si>
  <si>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</si>
  <si>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</si>
  <si>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</si>
  <si>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</si>
  <si>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</si>
  <si>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</si>
  <si>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</si>
  <si>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</si>
  <si>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</si>
  <si>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</si>
  <si>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</si>
  <si>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</si>
  <si>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</si>
  <si>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</si>
  <si>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</si>
  <si>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</si>
  <si>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</si>
  <si>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</si>
  <si>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</si>
  <si>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</si>
  <si>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</si>
  <si>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</si>
  <si>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</si>
  <si>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</si>
  <si>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</si>
  <si>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</si>
  <si>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</si>
  <si>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</si>
  <si>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</si>
  <si>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</si>
  <si>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</si>
  <si>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</si>
  <si>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</si>
  <si>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</si>
  <si>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</si>
  <si>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</si>
  <si>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</si>
  <si>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</si>
  <si>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</si>
  <si>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</si>
  <si>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</si>
  <si>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</si>
  <si>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</si>
  <si>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</si>
  <si>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</si>
  <si>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</si>
  <si>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</si>
  <si>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</si>
  <si>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</si>
  <si>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</si>
  <si>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</si>
  <si>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</si>
  <si>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</si>
  <si>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</si>
  <si>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</si>
  <si>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</si>
  <si>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</si>
  <si>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</si>
  <si>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</si>
  <si>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</si>
  <si>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</si>
  <si>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</si>
  <si>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</si>
  <si>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</si>
  <si>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</si>
  <si>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</si>
  <si>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</si>
  <si>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</si>
  <si>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</si>
  <si>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</si>
  <si>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</si>
  <si>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</si>
  <si>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</si>
  <si>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</si>
  <si>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</si>
  <si>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</si>
  <si>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</si>
  <si>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</si>
  <si>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</si>
  <si>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</si>
  <si>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</si>
  <si>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</si>
  <si>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</si>
  <si>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</si>
  <si>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</si>
  <si>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</si>
  <si>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</si>
  <si>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</si>
  <si>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</si>
  <si>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</si>
  <si>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</si>
  <si>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</si>
  <si>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</si>
  <si>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</si>
  <si>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</si>
  <si>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</si>
  <si>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</si>
  <si>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</si>
  <si>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</si>
  <si>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</si>
  <si>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</si>
  <si>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</si>
  <si>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</si>
  <si>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</si>
  <si>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</si>
  <si>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</si>
  <si>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</si>
  <si>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</si>
  <si>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</si>
  <si>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</si>
  <si>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</si>
  <si>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</si>
  <si>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</si>
  <si>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</si>
  <si>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</si>
  <si>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</si>
  <si>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</si>
  <si>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</si>
  <si>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</si>
  <si>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</si>
  <si>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</si>
  <si>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</si>
  <si>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</si>
  <si>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</si>
  <si>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</si>
  <si>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</si>
  <si>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</si>
  <si>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</si>
  <si>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</si>
  <si>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</si>
  <si>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</si>
  <si>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</si>
  <si>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</si>
  <si>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</si>
  <si>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</si>
  <si>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</si>
  <si>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</si>
  <si>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</si>
  <si>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</si>
  <si>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</si>
  <si>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</si>
  <si>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</si>
  <si>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</si>
  <si>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</si>
  <si>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</si>
  <si>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</si>
  <si>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</si>
  <si>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</si>
  <si>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</si>
  <si>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</si>
  <si>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</si>
  <si>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</si>
  <si>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</si>
  <si>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</si>
  <si>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</si>
  <si>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</si>
  <si>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</si>
  <si>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</si>
  <si>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</si>
  <si>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</si>
  <si>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</si>
  <si>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</si>
  <si>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</si>
  <si>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</si>
  <si>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</si>
  <si>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</si>
  <si>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</si>
  <si>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</si>
  <si>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</si>
  <si>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</si>
  <si>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</si>
  <si>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</si>
  <si>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</si>
  <si>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</si>
  <si>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</si>
  <si>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</si>
  <si>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</si>
  <si>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</si>
  <si>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</si>
  <si>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</si>
  <si>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</si>
  <si>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</si>
  <si>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</si>
  <si>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</si>
  <si>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</si>
  <si>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</si>
  <si>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</si>
  <si>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</si>
  <si>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</si>
  <si>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</si>
  <si>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</si>
  <si>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</si>
  <si>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</si>
  <si>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</si>
  <si>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</si>
  <si>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</si>
  <si>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</si>
  <si>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</si>
  <si>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</si>
  <si>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</si>
  <si>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</si>
  <si>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</si>
  <si>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</si>
  <si>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</si>
  <si>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</si>
  <si>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</si>
  <si>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</si>
  <si>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</si>
  <si>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</si>
  <si>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</si>
  <si>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</si>
  <si>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</si>
  <si>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</si>
  <si>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</si>
  <si>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</si>
  <si>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</si>
  <si>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</si>
  <si>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</si>
  <si>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</si>
  <si>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</si>
  <si>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</si>
  <si>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</si>
  <si>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</si>
  <si>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</si>
  <si>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</si>
  <si>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</si>
  <si>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</si>
  <si>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</si>
  <si>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</si>
  <si>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</si>
  <si>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</si>
  <si>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</si>
  <si>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</si>
  <si>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</si>
  <si>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</si>
  <si>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</si>
  <si>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</si>
  <si>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</si>
  <si>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</si>
  <si>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</si>
  <si>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</si>
  <si>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</si>
  <si>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</si>
  <si>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</si>
  <si>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</si>
  <si>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</si>
  <si>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</si>
  <si>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</si>
  <si>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</si>
  <si>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</si>
  <si>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</si>
  <si>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</si>
  <si>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</si>
  <si>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</si>
  <si>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</si>
  <si>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</si>
  <si>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</si>
  <si>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</si>
  <si>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</si>
  <si>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</si>
  <si>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</si>
  <si>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</si>
  <si>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</si>
  <si>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</si>
  <si>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</si>
  <si>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</si>
  <si>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</si>
  <si>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</si>
  <si>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</si>
  <si>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</si>
  <si>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</si>
  <si>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</si>
  <si>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</si>
  <si>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</si>
  <si>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</si>
  <si>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</si>
  <si>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</si>
  <si>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</si>
  <si>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</si>
  <si>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</si>
  <si>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</si>
  <si>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</si>
  <si>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</si>
  <si>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</si>
  <si>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</si>
  <si>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</si>
  <si>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</si>
  <si>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</si>
  <si>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</si>
  <si>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</si>
  <si>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</si>
  <si>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</si>
  <si>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</si>
  <si>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</si>
  <si>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</si>
  <si>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</si>
  <si>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</si>
  <si>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</si>
  <si>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</si>
  <si>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</si>
  <si>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</si>
  <si>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</si>
  <si>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</si>
  <si>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</si>
  <si>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</si>
  <si>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</si>
  <si>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</si>
  <si>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</si>
  <si>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</si>
  <si>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</si>
  <si>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</si>
  <si>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</si>
  <si>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</si>
  <si>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</si>
  <si>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</si>
  <si>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</si>
  <si>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</si>
  <si>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</si>
  <si>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</si>
  <si>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</si>
  <si>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</si>
  <si>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</si>
  <si>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</si>
  <si>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</si>
  <si>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</si>
  <si>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</si>
  <si>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</si>
  <si>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</si>
  <si>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</si>
  <si>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</si>
  <si>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</si>
  <si>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</si>
  <si>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</si>
  <si>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</si>
  <si>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</si>
  <si>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</si>
  <si>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</si>
  <si>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</si>
  <si>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</si>
  <si>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</si>
  <si>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</si>
  <si>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</si>
  <si>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</si>
  <si>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</si>
  <si>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</si>
  <si>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</si>
  <si>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</si>
  <si>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</si>
  <si>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</si>
  <si>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</si>
  <si>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</si>
  <si>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</si>
  <si>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</si>
  <si>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</si>
  <si>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</si>
  <si>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</si>
  <si>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</si>
  <si>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</si>
  <si>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</si>
  <si>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</si>
  <si>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</si>
  <si>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</si>
  <si>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</si>
  <si>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</si>
  <si>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</si>
  <si>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</si>
  <si>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</si>
  <si>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</si>
  <si>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</si>
  <si>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</si>
  <si>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</si>
  <si>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</si>
  <si>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</si>
  <si>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</si>
  <si>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</si>
  <si>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</si>
  <si>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</si>
  <si>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</si>
  <si>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</si>
  <si>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</si>
  <si>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</si>
  <si>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</si>
  <si>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</si>
  <si>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</si>
  <si>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</si>
  <si>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</si>
  <si>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</si>
  <si>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</si>
  <si>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</si>
  <si>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</si>
  <si>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</si>
  <si>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</si>
  <si>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</si>
  <si>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</si>
  <si>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</si>
  <si>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</si>
  <si>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</si>
  <si>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</si>
  <si>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</si>
  <si>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</si>
  <si>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</si>
  <si>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</si>
  <si>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</si>
  <si>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</si>
  <si>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</si>
  <si>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</si>
  <si>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</si>
  <si>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</si>
  <si>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</si>
  <si>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</si>
  <si>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</si>
  <si>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</si>
  <si>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</si>
  <si>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</si>
  <si>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</si>
  <si>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</si>
  <si>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</si>
  <si>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</si>
  <si>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</si>
  <si>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</si>
  <si>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</si>
  <si>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</si>
  <si>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</si>
  <si>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</si>
  <si>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</si>
  <si>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</si>
  <si>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</si>
  <si>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</si>
  <si>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</si>
  <si>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</si>
  <si>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</si>
  <si>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</si>
  <si>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</si>
  <si>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</si>
  <si>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</si>
  <si>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</si>
  <si>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</si>
  <si>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</si>
  <si>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</si>
  <si>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</si>
  <si>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</si>
  <si>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</si>
  <si>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</si>
  <si>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</si>
  <si>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</si>
  <si>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</si>
  <si>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</si>
  <si>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</si>
  <si>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</si>
  <si>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</si>
  <si>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</si>
  <si>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</si>
  <si>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</si>
  <si>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</si>
  <si>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</si>
  <si>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</si>
  <si>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</si>
  <si>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</si>
  <si>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</si>
  <si>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</si>
  <si>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</si>
  <si>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</si>
  <si>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</si>
  <si>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</si>
  <si>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</si>
  <si>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</si>
  <si>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</si>
  <si>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</si>
  <si>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</si>
  <si>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</si>
  <si>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</si>
  <si>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</si>
  <si>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</si>
  <si>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</si>
  <si>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</si>
  <si>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</si>
  <si>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</si>
  <si>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</si>
  <si>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</si>
  <si>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</si>
  <si>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</si>
  <si>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</si>
  <si>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</si>
  <si>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</si>
  <si>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</si>
  <si>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</si>
  <si>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</si>
  <si>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</si>
  <si>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</si>
  <si>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</si>
  <si>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</si>
  <si>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</si>
  <si>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</si>
  <si>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</si>
  <si>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</si>
  <si>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</si>
  <si>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</si>
  <si>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</si>
  <si>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</si>
  <si>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</si>
  <si>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</si>
  <si>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</si>
  <si>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</si>
  <si>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</si>
  <si>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</si>
  <si>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</si>
  <si>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</si>
  <si>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</si>
  <si>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</si>
  <si>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</si>
  <si>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</si>
  <si>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</si>
  <si>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</si>
  <si>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</si>
  <si>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</si>
  <si>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</si>
  <si>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</si>
  <si>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</si>
  <si>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</si>
  <si>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</si>
  <si>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</si>
  <si>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</si>
  <si>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</si>
  <si>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</si>
  <si>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</si>
  <si>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</si>
  <si>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</si>
  <si>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</si>
  <si>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</si>
  <si>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</si>
  <si>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</si>
  <si>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</si>
  <si>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</si>
  <si>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</si>
  <si>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</si>
  <si>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</si>
  <si>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</si>
  <si>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</si>
  <si>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</si>
  <si>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</si>
  <si>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</si>
  <si>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</si>
  <si>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</si>
  <si>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</si>
  <si>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</si>
  <si>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</si>
  <si>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</si>
  <si>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</si>
  <si>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</si>
  <si>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</si>
  <si>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</si>
  <si>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</si>
  <si>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</si>
  <si>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</si>
  <si>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</si>
  <si>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</si>
  <si>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</si>
  <si>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</si>
  <si>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</si>
  <si>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</si>
  <si>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</si>
  <si>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</si>
  <si>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</si>
  <si>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</si>
  <si>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</si>
  <si>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</si>
  <si>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</si>
  <si>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</si>
  <si>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</si>
  <si>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</si>
  <si>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</si>
  <si>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</si>
  <si>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</si>
  <si>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</si>
  <si>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</si>
  <si>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</si>
  <si>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</si>
  <si>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</si>
  <si>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</si>
  <si>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</si>
  <si>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</si>
  <si>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</si>
  <si>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</si>
  <si>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</si>
  <si>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</si>
  <si>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</si>
  <si>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</si>
  <si>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</si>
  <si>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</si>
  <si>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</si>
  <si>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</si>
  <si>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</si>
  <si>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</si>
  <si>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</si>
  <si>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</si>
  <si>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</si>
  <si>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</si>
  <si>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</si>
  <si>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</si>
  <si>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</si>
  <si>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</si>
  <si>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</si>
  <si>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</si>
  <si>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</si>
  <si>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</si>
  <si>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</si>
  <si>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</si>
  <si>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</si>
  <si>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</si>
  <si>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</si>
  <si>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</si>
  <si>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</si>
  <si>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</si>
  <si>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</si>
  <si>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</si>
  <si>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</si>
  <si>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</si>
  <si>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</si>
  <si>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</si>
  <si>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</si>
  <si>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</si>
  <si>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</si>
  <si>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</si>
  <si>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</si>
  <si>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</si>
  <si>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</si>
  <si>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</si>
  <si>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</si>
  <si>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</si>
  <si>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</si>
  <si>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</si>
  <si>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</si>
  <si>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</si>
  <si>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</si>
  <si>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</si>
  <si>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</si>
  <si>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</si>
  <si>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</si>
  <si>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</si>
  <si>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</si>
  <si>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</si>
  <si>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</si>
  <si>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</si>
  <si>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</si>
  <si>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</si>
  <si>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</si>
  <si>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</si>
  <si>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</si>
  <si>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</si>
  <si>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</si>
  <si>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</si>
  <si>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</si>
  <si>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</si>
  <si>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</si>
  <si>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</si>
  <si>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</si>
  <si>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</si>
  <si>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</si>
  <si>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</si>
  <si>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</si>
  <si>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</si>
  <si>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</si>
  <si>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</si>
  <si>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</si>
  <si>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</si>
  <si>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</si>
  <si>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</si>
  <si>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</si>
  <si>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</si>
  <si>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</si>
  <si>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</si>
  <si>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</si>
  <si>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</si>
  <si>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</si>
  <si>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</si>
  <si>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</si>
  <si>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</si>
  <si>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</si>
  <si>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</si>
  <si>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</si>
  <si>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</si>
  <si>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</si>
  <si>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</si>
  <si>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</si>
  <si>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</si>
  <si>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</si>
  <si>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</si>
  <si>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</si>
  <si>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</si>
  <si>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</si>
  <si>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</si>
  <si>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</si>
  <si>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</si>
  <si>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</si>
  <si>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</si>
  <si>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</si>
  <si>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</si>
  <si>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</si>
  <si>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</si>
  <si>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</si>
  <si>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</si>
  <si>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</si>
  <si>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</si>
  <si>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</si>
  <si>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</si>
  <si>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</si>
  <si>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</si>
  <si>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</si>
  <si>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</si>
  <si>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</si>
  <si>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</si>
  <si>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</si>
  <si>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</si>
  <si>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</si>
  <si>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</si>
  <si>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</si>
  <si>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</si>
  <si>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</si>
  <si>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</si>
  <si>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</si>
  <si>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</si>
  <si>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</si>
  <si>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</si>
  <si>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</si>
  <si>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</si>
  <si>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</si>
  <si>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</si>
  <si>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</si>
  <si>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</si>
  <si>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</si>
  <si>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</si>
  <si>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</si>
  <si>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</si>
  <si>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</si>
  <si>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</si>
  <si>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</si>
  <si>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</si>
  <si>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</si>
  <si>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</si>
  <si>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</si>
  <si>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</si>
  <si>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</si>
  <si>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</si>
  <si>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</si>
  <si>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</si>
  <si>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</si>
  <si>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</si>
  <si>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</si>
  <si>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</si>
  <si>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</si>
  <si>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</si>
  <si>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</si>
  <si>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</si>
  <si>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</si>
  <si>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</si>
  <si>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</si>
  <si>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</si>
  <si>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</si>
  <si>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</si>
  <si>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</si>
  <si>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</si>
  <si>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</si>
  <si>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</si>
  <si>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</si>
  <si>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</si>
  <si>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</si>
  <si>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</si>
  <si>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</si>
  <si>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</si>
  <si>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</si>
  <si>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</si>
  <si>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</si>
  <si>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</si>
  <si>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</si>
  <si>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</si>
  <si>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</si>
  <si>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</si>
  <si>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</si>
  <si>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</si>
  <si>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</si>
  <si>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</si>
  <si>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</si>
  <si>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</si>
  <si>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</si>
  <si>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</si>
  <si>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</si>
  <si>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</si>
  <si>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</si>
  <si>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</si>
  <si>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</si>
  <si>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</si>
  <si>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</si>
  <si>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</si>
  <si>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</si>
  <si>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</si>
  <si>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</si>
  <si>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</si>
  <si>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</si>
  <si>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</si>
  <si>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</si>
  <si>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</si>
  <si>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</si>
  <si>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</si>
  <si>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</si>
  <si>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</si>
  <si>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</si>
  <si>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</si>
  <si>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</si>
  <si>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</si>
  <si>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</si>
  <si>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</si>
  <si>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</si>
  <si>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</si>
  <si>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</si>
  <si>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</si>
  <si>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</si>
  <si>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</si>
  <si>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</si>
  <si>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</si>
  <si>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</si>
  <si>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</si>
  <si>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</si>
  <si>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</si>
  <si>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</si>
  <si>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</si>
  <si>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</si>
  <si>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</si>
  <si>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</si>
  <si>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</si>
  <si>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</si>
  <si>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</si>
  <si>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</si>
  <si>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</si>
  <si>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</si>
  <si>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</si>
  <si>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</si>
  <si>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</si>
  <si>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</si>
  <si>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</si>
  <si>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</si>
  <si>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</si>
  <si>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</si>
  <si>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</si>
  <si>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</si>
  <si>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</si>
  <si>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</si>
  <si>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</si>
  <si>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</si>
  <si>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</si>
  <si>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</si>
  <si>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</si>
  <si>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</si>
  <si>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</si>
  <si>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</si>
  <si>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</si>
  <si>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</si>
  <si>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</si>
  <si>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</si>
  <si>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</si>
  <si>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</si>
  <si>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</si>
  <si>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</si>
  <si>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</si>
  <si>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</si>
  <si>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</si>
  <si>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</si>
  <si>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</si>
  <si>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</si>
  <si>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</si>
  <si>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</si>
  <si>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</si>
  <si>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</si>
  <si>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</si>
  <si>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</si>
  <si>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</si>
  <si>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</si>
  <si>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</si>
  <si>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</si>
  <si>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</si>
  <si>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</si>
  <si>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</si>
  <si>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</si>
  <si>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</si>
  <si>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</si>
  <si>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</si>
  <si>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</si>
  <si>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</si>
  <si>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</si>
  <si>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</si>
  <si>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</si>
  <si>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</si>
  <si>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</si>
  <si>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</si>
  <si>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</si>
  <si>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</si>
  <si>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</si>
  <si>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</si>
  <si>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</si>
  <si>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</si>
  <si>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</si>
  <si>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</si>
  <si>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</si>
  <si>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</si>
  <si>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</si>
  <si>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</si>
  <si>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</si>
  <si>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</si>
  <si>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</si>
  <si>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</si>
  <si>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</si>
  <si>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</si>
  <si>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</si>
  <si>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</si>
  <si>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</si>
  <si>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</si>
  <si>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</si>
  <si>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</si>
  <si>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</si>
  <si>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</si>
  <si>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</si>
  <si>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</si>
  <si>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</si>
  <si>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</si>
  <si>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</si>
  <si>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</si>
  <si>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</si>
  <si>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</si>
  <si>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</si>
  <si>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</si>
  <si>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</si>
  <si>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</si>
  <si>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</si>
  <si>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</si>
  <si>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</si>
  <si>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</si>
  <si>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</si>
  <si>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</si>
  <si>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</si>
  <si>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</si>
  <si>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</si>
  <si>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</si>
  <si>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</si>
  <si>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</si>
  <si>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</si>
  <si>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</si>
  <si>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</si>
  <si>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</si>
  <si>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</si>
  <si>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</si>
  <si>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</si>
  <si>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</si>
  <si>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</si>
  <si>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</si>
  <si>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</si>
  <si>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</si>
  <si>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</si>
  <si>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</si>
  <si>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</si>
  <si>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</si>
  <si>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</si>
  <si>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</si>
  <si>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</si>
  <si>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</si>
  <si>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</si>
  <si>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</si>
  <si>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</si>
  <si>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</si>
  <si>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</si>
  <si>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</si>
  <si>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</si>
  <si>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</si>
  <si>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</si>
  <si>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</si>
  <si>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</si>
  <si>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</si>
  <si>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</si>
  <si>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</si>
  <si>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</si>
  <si>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</si>
  <si>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</si>
  <si>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</si>
  <si>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</si>
  <si>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</si>
  <si>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</si>
  <si>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</si>
  <si>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</si>
  <si>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</si>
  <si>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</si>
  <si>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</si>
  <si>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</si>
  <si>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</si>
  <si>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</si>
  <si>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</si>
  <si>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</si>
  <si>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</si>
  <si>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</si>
  <si>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</si>
  <si>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</si>
  <si>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</si>
  <si>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</si>
  <si>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</si>
  <si>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</si>
  <si>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</si>
  <si>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</si>
  <si>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</si>
  <si>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</si>
  <si>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</si>
  <si>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</si>
  <si>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</si>
  <si>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</si>
  <si>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</si>
  <si>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</si>
  <si>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</si>
  <si>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</si>
  <si>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</si>
  <si>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</si>
  <si>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</si>
  <si>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</si>
  <si>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</si>
  <si>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</si>
  <si>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</si>
  <si>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</si>
  <si>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</si>
  <si>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</si>
  <si>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</si>
  <si>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</si>
  <si>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</si>
  <si>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</si>
  <si>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</si>
  <si>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</si>
  <si>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</si>
  <si>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</si>
  <si>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</si>
  <si>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</si>
  <si>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</si>
  <si>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</si>
  <si>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</si>
  <si>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</si>
  <si>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</si>
  <si>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</si>
  <si>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</si>
  <si>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</si>
  <si>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</si>
  <si>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</si>
  <si>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</si>
  <si>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</si>
  <si>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</si>
  <si>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</si>
  <si>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</si>
  <si>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</si>
  <si>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</si>
  <si>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</si>
  <si>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</si>
  <si>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</si>
  <si>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</si>
  <si>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</si>
  <si>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</si>
  <si>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</si>
  <si>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</si>
  <si>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</si>
  <si>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</si>
  <si>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</si>
  <si>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</si>
  <si>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</si>
  <si>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</si>
  <si>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</si>
  <si>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</si>
  <si>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</si>
  <si>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</si>
  <si>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</si>
  <si>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</si>
  <si>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</si>
  <si>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</si>
  <si>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</si>
  <si>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</si>
  <si>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</si>
  <si>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</si>
  <si>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</si>
  <si>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</si>
  <si>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</si>
  <si>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</si>
  <si>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</si>
  <si>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</si>
  <si>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</si>
  <si>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</si>
  <si>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</si>
  <si>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</si>
  <si>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</si>
  <si>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</si>
  <si>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</si>
  <si>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</si>
  <si>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</si>
  <si>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</si>
  <si>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</si>
  <si>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</si>
  <si>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</si>
  <si>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</si>
  <si>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</si>
  <si>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</si>
  <si>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</si>
  <si>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</si>
  <si>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</si>
  <si>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</si>
  <si>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</si>
  <si>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</si>
  <si>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</si>
  <si>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</si>
  <si>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</si>
  <si>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</si>
  <si>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</si>
  <si>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</si>
  <si>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</si>
  <si>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</si>
  <si>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</si>
  <si>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</si>
  <si>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</si>
  <si>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</si>
  <si>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</si>
  <si>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</si>
  <si>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</si>
  <si>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</si>
  <si>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</si>
  <si>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</si>
  <si>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</si>
  <si>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</si>
  <si>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</si>
  <si>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</si>
  <si>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</si>
  <si>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</si>
  <si>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</si>
  <si>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</si>
  <si>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</si>
  <si>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</si>
  <si>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</si>
  <si>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</si>
  <si>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</si>
  <si>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</si>
  <si>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</si>
  <si>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</si>
  <si>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</si>
  <si>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</si>
  <si>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</si>
  <si>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</si>
  <si>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</si>
  <si>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</si>
  <si>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</si>
  <si>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</si>
  <si>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</si>
  <si>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</si>
  <si>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</si>
  <si>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</si>
  <si>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</si>
  <si>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</si>
  <si>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</si>
  <si>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</si>
  <si>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</si>
  <si>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</si>
  <si>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</si>
  <si>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</si>
  <si>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</si>
  <si>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</si>
  <si>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</si>
  <si>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</si>
  <si>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</si>
  <si>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</si>
  <si>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</si>
  <si>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</si>
  <si>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</si>
  <si>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</si>
  <si>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</si>
  <si>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</si>
  <si>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</si>
  <si>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</si>
  <si>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</si>
  <si>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</si>
  <si>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</si>
  <si>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</si>
  <si>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</si>
  <si>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</si>
  <si>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</si>
  <si>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</si>
  <si>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</si>
  <si>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</si>
  <si>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</si>
  <si>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</si>
  <si>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</si>
  <si>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</si>
  <si>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</si>
  <si>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</si>
  <si>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</si>
  <si>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</si>
  <si>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</si>
  <si>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</si>
  <si>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</si>
  <si>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</si>
  <si>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</si>
  <si>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</si>
  <si>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</si>
  <si>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</si>
  <si>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</si>
  <si>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</si>
  <si>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</si>
  <si>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</si>
  <si>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</si>
  <si>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</si>
  <si>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</si>
  <si>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</si>
  <si>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</si>
  <si>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</si>
  <si>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</si>
  <si>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</si>
  <si>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</si>
  <si>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</si>
  <si>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</si>
  <si>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</si>
  <si>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</si>
  <si>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</si>
  <si>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</si>
  <si>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</si>
  <si>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</si>
  <si>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</si>
  <si>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</si>
  <si>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</si>
  <si>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</si>
  <si>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</si>
  <si>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</si>
  <si>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</si>
  <si>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</si>
  <si>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</si>
  <si>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</si>
  <si>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</si>
  <si>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</si>
  <si>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</si>
  <si>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</si>
  <si>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</si>
  <si>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</si>
  <si>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</si>
  <si>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</si>
  <si>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</si>
  <si>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</si>
  <si>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</si>
  <si>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</si>
  <si>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</si>
  <si>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</si>
  <si>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</si>
  <si>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</si>
  <si>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</si>
  <si>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</si>
  <si>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</si>
  <si>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</si>
  <si>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</si>
  <si>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</si>
  <si>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</si>
  <si>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</si>
  <si>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</si>
  <si>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</si>
  <si>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</si>
  <si>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</si>
  <si>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</si>
  <si>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</si>
  <si>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</si>
  <si>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</si>
  <si>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</si>
  <si>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</si>
  <si>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</si>
  <si>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</si>
  <si>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</si>
  <si>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</si>
  <si>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</si>
  <si>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</si>
  <si>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</si>
  <si>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</si>
  <si>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</si>
  <si>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</si>
  <si>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</si>
  <si>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</si>
  <si>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</si>
  <si>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</si>
  <si>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</si>
  <si>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</si>
  <si>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Salem School District</t>
  </si>
  <si>
    <t>06/10</t>
  </si>
  <si>
    <t>07/13</t>
  </si>
  <si>
    <t>12/14</t>
  </si>
  <si>
    <t>12/15_09/16</t>
  </si>
  <si>
    <t>09/26</t>
  </si>
  <si>
    <t>08/26</t>
  </si>
  <si>
    <t>11/34</t>
  </si>
  <si>
    <t>06/36_09/36</t>
  </si>
  <si>
    <t>various</t>
  </si>
  <si>
    <t>Other district expenditures</t>
  </si>
  <si>
    <t>other district expenditures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</si>
</sst>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3" formatCode="_(* #,##0.00_);_(* \(#,##0.00\);_(* &quot;-&quot;??_);_(@_)"/>
    <numFmt numFmtId="164" formatCode="0.00_)"/>
    <numFmt numFmtId="165" formatCode="0_)"/>
    <numFmt numFmtId="166" formatCode="0.0%"/>
    <numFmt numFmtId="167" formatCode="0.0"/>
    <numFmt numFmtId="168" formatCode="&quot;$&quot;#,##0.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3">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168" fontId="0" fillId="0" borderId="0" xfId="0" applyNumberFormat="1" applyProtection="1">
      <protection locked="0"/>
    </xf>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36" activePane="bottomRight" state="frozen"/>
      <selection activeCell="F46" sqref="F46"/>
      <selection pane="topRight" activeCell="F46" sqref="F46"/>
      <selection pane="bottomLeft" activeCell="F46" sqref="F46"/>
      <selection pane="bottomRight" activeCell="H666" sqref="H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473</v>
      </c>
      <c r="C2" s="21">
        <v>473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3819520.51</v>
      </c>
      <c r="G9" s="18">
        <v>2138.7800000000002</v>
      </c>
      <c r="H9" s="18"/>
      <c r="I9" s="18">
        <f>200756.12</f>
        <v>200756.12</v>
      </c>
      <c r="J9" s="67">
        <f>SUM(I440)</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239207.94</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f>H22+G22+I22+339.7</f>
        <v>284595.36</v>
      </c>
      <c r="G12" s="18">
        <v>247.47</v>
      </c>
      <c r="H12" s="18">
        <v>140123.62</v>
      </c>
      <c r="I12" s="18"/>
      <c r="J12" s="67">
        <f>SUM(I442)</f>
        <v>25574</v>
      </c>
      <c r="K12" s="24" t="s">
        <v>288</v>
      </c>
      <c r="L12" s="24" t="s">
        <v>288</v>
      </c>
      <c r="M12" s="8"/>
      <c r="N12" s="266"/>
    </row>
    <row r="13" spans="1:14" s="3" customFormat="1" ht="12.2" customHeight="1" x14ac:dyDescent="0.15">
      <c r="A13" s="1" t="s">
        <v>604</v>
      </c>
      <c r="B13" s="2" t="s">
        <v>289</v>
      </c>
      <c r="C13" s="6">
        <v>5</v>
      </c>
      <c r="D13" s="2" t="s">
        <v>428</v>
      </c>
      <c r="E13" s="6">
        <v>140</v>
      </c>
      <c r="F13" s="18">
        <f>113517.9</f>
        <v>113517.9</v>
      </c>
      <c r="G13" s="18">
        <v>62343.55</v>
      </c>
      <c r="H13" s="18">
        <v>341387.06</v>
      </c>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4217633.7699999996</v>
      </c>
      <c r="G19" s="41">
        <f>SUM(G9:G18)</f>
        <v>64729.8</v>
      </c>
      <c r="H19" s="41">
        <f>SUM(H9:H18)</f>
        <v>481510.68</v>
      </c>
      <c r="I19" s="41">
        <f>SUM(I9:I18)</f>
        <v>200756.12</v>
      </c>
      <c r="J19" s="41">
        <f>SUM(J9:J18)</f>
        <v>264781.94</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f>G12+H12</f>
        <v>140371.09</v>
      </c>
      <c r="G22" s="18"/>
      <c r="H22" s="18">
        <v>284255.65999999997</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222409.34</v>
      </c>
      <c r="G24" s="18">
        <v>357.16</v>
      </c>
      <c r="H24" s="18">
        <f>6086.9</f>
        <v>6086.9</v>
      </c>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f>170639.02+10912.02+834.77</f>
        <v>182385.80999999997</v>
      </c>
      <c r="G29" s="18">
        <v>2069.7600000000002</v>
      </c>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545166.24</v>
      </c>
      <c r="G32" s="41">
        <f>SUM(G22:G31)</f>
        <v>2426.92</v>
      </c>
      <c r="H32" s="41">
        <f>SUM(H22:H31)</f>
        <v>290342.56</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v>1582816.55</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f>289343.21+8750+161859.58-459952.79+405054.79</f>
        <v>405054.79000000004</v>
      </c>
      <c r="G48" s="18">
        <f>G19-G32-G49</f>
        <v>62302.880000000005</v>
      </c>
      <c r="H48" s="18">
        <f>H19-H32-H49</f>
        <v>191168.12</v>
      </c>
      <c r="I48" s="18">
        <f>I19-I32-I49</f>
        <v>197011.12</v>
      </c>
      <c r="J48" s="13">
        <f>SUM(I460)</f>
        <v>264781.94</v>
      </c>
      <c r="K48" s="24" t="s">
        <v>288</v>
      </c>
      <c r="L48" s="24" t="s">
        <v>288</v>
      </c>
      <c r="M48" s="8"/>
      <c r="N48" s="266"/>
    </row>
    <row r="49" spans="1:14" s="3" customFormat="1" ht="12.2" customHeight="1" x14ac:dyDescent="0.15">
      <c r="A49" s="1" t="s">
        <v>859</v>
      </c>
      <c r="B49" s="2" t="s">
        <v>289</v>
      </c>
      <c r="C49" s="6">
        <v>34</v>
      </c>
      <c r="D49" s="2"/>
      <c r="E49" s="6">
        <v>753</v>
      </c>
      <c r="F49" s="18">
        <f>447291.45</f>
        <v>447291.45</v>
      </c>
      <c r="G49" s="18"/>
      <c r="H49" s="18"/>
      <c r="I49" s="18">
        <f>3745</f>
        <v>3745</v>
      </c>
      <c r="J49" s="13">
        <f>I455</f>
        <v>0</v>
      </c>
      <c r="K49" s="24"/>
      <c r="L49" s="24"/>
      <c r="M49" s="8"/>
      <c r="N49" s="266"/>
    </row>
    <row r="50" spans="1:14" s="3" customFormat="1" ht="12.2" customHeight="1" thickBot="1" x14ac:dyDescent="0.2">
      <c r="A50" s="29" t="s">
        <v>840</v>
      </c>
      <c r="B50" s="2" t="s">
        <v>289</v>
      </c>
      <c r="C50" s="71">
        <v>35</v>
      </c>
      <c r="D50" s="2" t="s">
        <v>653</v>
      </c>
      <c r="E50" s="6">
        <v>770</v>
      </c>
      <c r="F50" s="18">
        <f>F19-F32-F46-F48-F49</f>
        <v>1237304.7399999993</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3672467.5299999993</v>
      </c>
      <c r="G51" s="41">
        <f>SUM(G35:G50)</f>
        <v>62302.880000000005</v>
      </c>
      <c r="H51" s="41">
        <f>SUM(H35:H50)</f>
        <v>191168.12</v>
      </c>
      <c r="I51" s="41">
        <f>SUM(I35:I50)</f>
        <v>200756.12</v>
      </c>
      <c r="J51" s="41">
        <f>SUM(J35:J50)</f>
        <v>264781.94</v>
      </c>
      <c r="K51" s="45" t="s">
        <v>288</v>
      </c>
      <c r="L51" s="45" t="s">
        <v>288</v>
      </c>
      <c r="N51" s="264"/>
    </row>
    <row r="52" spans="1:14" s="3" customFormat="1" ht="12.2" customHeight="1" thickTop="1" x14ac:dyDescent="0.15">
      <c r="A52" s="38" t="s">
        <v>455</v>
      </c>
      <c r="B52" s="39" t="s">
        <v>289</v>
      </c>
      <c r="C52" s="6">
        <v>37</v>
      </c>
      <c r="D52" s="39" t="s">
        <v>653</v>
      </c>
      <c r="E52" s="39"/>
      <c r="F52" s="41">
        <f>F51+F32</f>
        <v>4217633.7699999996</v>
      </c>
      <c r="G52" s="41">
        <f>G51+G32</f>
        <v>64729.8</v>
      </c>
      <c r="H52" s="41">
        <f>H51+H32</f>
        <v>481510.68</v>
      </c>
      <c r="I52" s="41">
        <f>I51+I32</f>
        <v>200756.12</v>
      </c>
      <c r="J52" s="41">
        <f>J51+J32</f>
        <v>264781.94</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53395203</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53395203</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f>47744.25</f>
        <v>47744.25</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v>35916.300000000003</v>
      </c>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v>58917.72</v>
      </c>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109234</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v>73081.19</v>
      </c>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v>215781.4</v>
      </c>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540674.86</v>
      </c>
      <c r="G79" s="45" t="s">
        <v>288</v>
      </c>
      <c r="H79" s="41">
        <f>SUM(H63:H78)</f>
        <v>0</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1828.02</v>
      </c>
      <c r="G96" s="18"/>
      <c r="H96" s="18"/>
      <c r="I96" s="18">
        <v>368.2</v>
      </c>
      <c r="J96" s="18">
        <v>1224.92</v>
      </c>
      <c r="K96" s="24" t="s">
        <v>288</v>
      </c>
      <c r="L96" s="24" t="s">
        <v>288</v>
      </c>
      <c r="M96" s="8"/>
      <c r="N96" s="266"/>
    </row>
    <row r="97" spans="1:14" s="3" customFormat="1" ht="12.2" customHeight="1" x14ac:dyDescent="0.15">
      <c r="A97" s="1" t="s">
        <v>503</v>
      </c>
      <c r="B97" s="2" t="s">
        <v>315</v>
      </c>
      <c r="C97" s="6">
        <v>12</v>
      </c>
      <c r="D97" s="2" t="s">
        <v>430</v>
      </c>
      <c r="E97" s="6">
        <v>1600</v>
      </c>
      <c r="F97" s="24" t="s">
        <v>288</v>
      </c>
      <c r="G97" s="18">
        <v>820224.33</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19498.66</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f>27181.32+60</f>
        <v>27241.32</v>
      </c>
      <c r="I102" s="18"/>
      <c r="J102" s="18">
        <v>25574</v>
      </c>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f>3479.92+15008.87+200000</f>
        <v>218488.79</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239815.47</v>
      </c>
      <c r="G111" s="41">
        <f>SUM(G96:G110)</f>
        <v>820224.33</v>
      </c>
      <c r="H111" s="41">
        <f>SUM(H96:H110)</f>
        <v>27241.32</v>
      </c>
      <c r="I111" s="41">
        <f>SUM(I96:I110)</f>
        <v>368.2</v>
      </c>
      <c r="J111" s="41">
        <f>SUM(J96:J110)</f>
        <v>26798.92</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54175693.329999998</v>
      </c>
      <c r="G112" s="41">
        <f>G60+G111</f>
        <v>820224.33</v>
      </c>
      <c r="H112" s="41">
        <f>H60+H79+H94+H111</f>
        <v>27241.32</v>
      </c>
      <c r="I112" s="41">
        <f>I60+I111</f>
        <v>368.2</v>
      </c>
      <c r="J112" s="41">
        <f>J60+J111</f>
        <v>26798.92</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4917713.18</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9917459</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21538.7</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14856710.879999999</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391537.86</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518535.72</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v>405973.23</v>
      </c>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3935</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12810.24</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1319981.81</v>
      </c>
      <c r="G136" s="41">
        <f>SUM(G123:G135)</f>
        <v>12810.24</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16176692.689999999</v>
      </c>
      <c r="G140" s="41">
        <f>G121+SUM(G136:G137)</f>
        <v>12810.24</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v>12184.06</v>
      </c>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12184.06</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f>417391.49-500</f>
        <v>416891.49</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293725.19</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v>126668.34</v>
      </c>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v>140185.82999999999</v>
      </c>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548939.56000000006</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841065.85</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170455.46</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v>74924.649999999994</v>
      </c>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245380.11</v>
      </c>
      <c r="G163" s="41">
        <f>SUM(G150:G162)</f>
        <v>548939.56000000006</v>
      </c>
      <c r="H163" s="41">
        <f>SUM(H150:H162)</f>
        <v>1818536.6999999997</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257564.16999999998</v>
      </c>
      <c r="G170" s="41">
        <f>G147+G163+SUM(G164:G169)</f>
        <v>548939.56000000006</v>
      </c>
      <c r="H170" s="41">
        <f>H147+H163+SUM(H164:H169)</f>
        <v>1818536.6999999997</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c r="H180" s="18"/>
      <c r="I180" s="18"/>
      <c r="J180" s="18"/>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v>12405.99</v>
      </c>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12405.99</v>
      </c>
      <c r="G184" s="41">
        <f>SUM(G180:G183)</f>
        <v>0</v>
      </c>
      <c r="H184" s="41">
        <f>SUM(H180:H183)</f>
        <v>0</v>
      </c>
      <c r="I184" s="41">
        <f>SUM(I180:I183)</f>
        <v>0</v>
      </c>
      <c r="J184" s="41">
        <f>SUM(J180:J183)</f>
        <v>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12405.99</v>
      </c>
      <c r="G193" s="41">
        <f>G184+SUM(G189:G192)</f>
        <v>0</v>
      </c>
      <c r="H193" s="41">
        <f>+H184+SUM(H189:H192)</f>
        <v>0</v>
      </c>
      <c r="I193" s="41">
        <f>I178+I184+SUM(I189:I192)</f>
        <v>0</v>
      </c>
      <c r="J193" s="41">
        <f>J184</f>
        <v>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70622356.179999992</v>
      </c>
      <c r="G194" s="47">
        <f>G112+G140+G170+G193</f>
        <v>1381974.13</v>
      </c>
      <c r="H194" s="47">
        <f>H112+H140+H170+H193</f>
        <v>1845778.0199999998</v>
      </c>
      <c r="I194" s="47">
        <f>I112+I140+I170+I193</f>
        <v>368.2</v>
      </c>
      <c r="J194" s="47">
        <f>J112+J140+J193</f>
        <v>26798.92</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f>705549.49+6884753.6</f>
        <v>7590303.0899999999</v>
      </c>
      <c r="G198" s="18">
        <f>362082.37+3265086.53</f>
        <v>3627168.9</v>
      </c>
      <c r="H198" s="18">
        <f>1585.23-11.2</f>
        <v>1574.03</v>
      </c>
      <c r="I198" s="18">
        <f>47311+265621.14+500</f>
        <v>313432.14</v>
      </c>
      <c r="J198" s="18">
        <f>61766.57</f>
        <v>61766.57</v>
      </c>
      <c r="K198" s="18">
        <v>3086.54</v>
      </c>
      <c r="L198" s="19">
        <f>SUM(F198:K198)</f>
        <v>11597331.27</v>
      </c>
      <c r="M198" s="8"/>
      <c r="N198" s="266"/>
    </row>
    <row r="199" spans="1:14" s="3" customFormat="1" ht="12.2" customHeight="1" x14ac:dyDescent="0.15">
      <c r="A199" s="1" t="s">
        <v>439</v>
      </c>
      <c r="B199" s="2" t="s">
        <v>341</v>
      </c>
      <c r="C199" s="2" t="s">
        <v>291</v>
      </c>
      <c r="D199" s="2" t="s">
        <v>431</v>
      </c>
      <c r="E199" s="6">
        <v>1200</v>
      </c>
      <c r="F199" s="18">
        <f>390695.77+2753162.81</f>
        <v>3143858.58</v>
      </c>
      <c r="G199" s="18">
        <f>1043837.9+199707.7</f>
        <v>1243545.6000000001</v>
      </c>
      <c r="H199" s="18">
        <f>163414.25+207876.83</f>
        <v>371291.07999999996</v>
      </c>
      <c r="I199" s="18">
        <f>19018.19+1749.51</f>
        <v>20767.699999999997</v>
      </c>
      <c r="J199" s="18">
        <v>6289.01</v>
      </c>
      <c r="K199" s="18">
        <v>439.04</v>
      </c>
      <c r="L199" s="19">
        <f>SUM(F199:K199)</f>
        <v>4786191.01</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f>2501.25+10949.04</f>
        <v>13450.29</v>
      </c>
      <c r="G201" s="18">
        <f>2493.75+616.3</f>
        <v>3110.05</v>
      </c>
      <c r="H201" s="18">
        <v>3058.35</v>
      </c>
      <c r="I201" s="18">
        <v>45.73</v>
      </c>
      <c r="J201" s="18">
        <v>0</v>
      </c>
      <c r="K201" s="18">
        <f>35.84+1957.65</f>
        <v>1993.49</v>
      </c>
      <c r="L201" s="19">
        <f>SUM(F201:K201)</f>
        <v>21657.91</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f>873189.77+650846.19</f>
        <v>1524035.96</v>
      </c>
      <c r="G203" s="18">
        <f>325513.98+507783.43</f>
        <v>833297.40999999992</v>
      </c>
      <c r="H203" s="18">
        <f>167577.46+42995.3</f>
        <v>210572.76</v>
      </c>
      <c r="I203" s="18">
        <f>14754.63+6109.79</f>
        <v>20864.419999999998</v>
      </c>
      <c r="J203" s="18">
        <v>0</v>
      </c>
      <c r="K203" s="18">
        <v>0</v>
      </c>
      <c r="L203" s="19">
        <f t="shared" ref="L203:L209" si="0">SUM(F203:K203)</f>
        <v>2588770.5499999998</v>
      </c>
      <c r="M203" s="8"/>
      <c r="N203" s="266"/>
    </row>
    <row r="204" spans="1:14" s="3" customFormat="1" ht="12.2" customHeight="1" x14ac:dyDescent="0.15">
      <c r="A204" s="1" t="s">
        <v>443</v>
      </c>
      <c r="B204" s="2" t="s">
        <v>341</v>
      </c>
      <c r="C204" s="2" t="s">
        <v>295</v>
      </c>
      <c r="D204" s="2" t="s">
        <v>431</v>
      </c>
      <c r="E204" s="6">
        <v>2200</v>
      </c>
      <c r="F204" s="18">
        <f>424831.17+63120.79</f>
        <v>487951.95999999996</v>
      </c>
      <c r="G204" s="18">
        <f>23357.23+153400.66</f>
        <v>176757.89</v>
      </c>
      <c r="H204" s="18">
        <f>65769+0</f>
        <v>65769</v>
      </c>
      <c r="I204" s="18">
        <f>27130.89+80148.99+0.04</f>
        <v>107279.92</v>
      </c>
      <c r="J204" s="18">
        <f>158938.3+0</f>
        <v>158938.29999999999</v>
      </c>
      <c r="K204" s="18">
        <v>0</v>
      </c>
      <c r="L204" s="19">
        <f t="shared" si="0"/>
        <v>996697.07000000007</v>
      </c>
      <c r="M204" s="8"/>
      <c r="N204" s="266"/>
    </row>
    <row r="205" spans="1:14" s="3" customFormat="1" ht="12.2" customHeight="1" x14ac:dyDescent="0.15">
      <c r="A205" s="1" t="s">
        <v>444</v>
      </c>
      <c r="B205" s="2" t="s">
        <v>341</v>
      </c>
      <c r="C205" s="2" t="s">
        <v>296</v>
      </c>
      <c r="D205" s="2" t="s">
        <v>431</v>
      </c>
      <c r="E205" s="6">
        <v>2300</v>
      </c>
      <c r="F205" s="18">
        <v>250545.81</v>
      </c>
      <c r="G205" s="18">
        <v>134147</v>
      </c>
      <c r="H205" s="18">
        <v>30987.39</v>
      </c>
      <c r="I205" s="18">
        <v>4307.57</v>
      </c>
      <c r="J205" s="18">
        <v>0</v>
      </c>
      <c r="K205" s="18">
        <v>6356.38</v>
      </c>
      <c r="L205" s="19">
        <f t="shared" si="0"/>
        <v>426344.15</v>
      </c>
      <c r="M205" s="8"/>
      <c r="N205" s="266"/>
    </row>
    <row r="206" spans="1:14" s="3" customFormat="1" ht="12.2" customHeight="1" x14ac:dyDescent="0.15">
      <c r="A206" s="1" t="s">
        <v>445</v>
      </c>
      <c r="B206" s="2" t="s">
        <v>341</v>
      </c>
      <c r="C206" s="2" t="s">
        <v>297</v>
      </c>
      <c r="D206" s="2" t="s">
        <v>431</v>
      </c>
      <c r="E206" s="6">
        <v>2400</v>
      </c>
      <c r="F206" s="18">
        <f>2196.1+740600.93</f>
        <v>742797.03</v>
      </c>
      <c r="G206" s="18">
        <f>410442.4+189.2</f>
        <v>410631.60000000003</v>
      </c>
      <c r="H206" s="18">
        <f>110476.67+416.88</f>
        <v>110893.55</v>
      </c>
      <c r="I206" s="18">
        <f>19388.73+0</f>
        <v>19388.73</v>
      </c>
      <c r="J206" s="18">
        <v>0</v>
      </c>
      <c r="K206" s="18">
        <f>1073.87</f>
        <v>1073.8699999999999</v>
      </c>
      <c r="L206" s="19">
        <f t="shared" si="0"/>
        <v>1284784.7800000003</v>
      </c>
      <c r="M206" s="8"/>
      <c r="N206" s="266"/>
    </row>
    <row r="207" spans="1:14" s="3" customFormat="1" ht="12.2" customHeight="1" x14ac:dyDescent="0.15">
      <c r="A207" s="1" t="s">
        <v>446</v>
      </c>
      <c r="B207" s="2" t="s">
        <v>341</v>
      </c>
      <c r="C207" s="2" t="s">
        <v>298</v>
      </c>
      <c r="D207" s="2" t="s">
        <v>431</v>
      </c>
      <c r="E207" s="6">
        <v>2500</v>
      </c>
      <c r="F207" s="18">
        <v>148732.31</v>
      </c>
      <c r="G207" s="18">
        <v>84036.67</v>
      </c>
      <c r="H207" s="18">
        <v>8110.59</v>
      </c>
      <c r="I207" s="18">
        <v>0</v>
      </c>
      <c r="J207" s="18">
        <v>0</v>
      </c>
      <c r="K207" s="18">
        <v>0</v>
      </c>
      <c r="L207" s="19">
        <f t="shared" si="0"/>
        <v>240879.56999999998</v>
      </c>
      <c r="M207" s="8"/>
      <c r="N207" s="266"/>
    </row>
    <row r="208" spans="1:14" s="3" customFormat="1" ht="12.2" customHeight="1" x14ac:dyDescent="0.15">
      <c r="A208" s="1" t="s">
        <v>447</v>
      </c>
      <c r="B208" s="2" t="s">
        <v>341</v>
      </c>
      <c r="C208" s="2" t="s">
        <v>299</v>
      </c>
      <c r="D208" s="2" t="s">
        <v>431</v>
      </c>
      <c r="E208" s="6">
        <v>2600</v>
      </c>
      <c r="F208" s="18">
        <v>581574.68999999994</v>
      </c>
      <c r="G208" s="18">
        <v>349442.07</v>
      </c>
      <c r="H208" s="18">
        <f>30877.39+430892.35</f>
        <v>461769.74</v>
      </c>
      <c r="I208" s="18">
        <v>470049.32</v>
      </c>
      <c r="J208" s="18">
        <v>36358.9</v>
      </c>
      <c r="K208" s="18">
        <v>0</v>
      </c>
      <c r="L208" s="19">
        <f t="shared" si="0"/>
        <v>1899194.72</v>
      </c>
      <c r="M208" s="8"/>
      <c r="N208" s="266"/>
    </row>
    <row r="209" spans="1:14" s="3" customFormat="1" ht="12.2" customHeight="1" x14ac:dyDescent="0.15">
      <c r="A209" s="1" t="s">
        <v>448</v>
      </c>
      <c r="B209" s="2" t="s">
        <v>341</v>
      </c>
      <c r="C209" s="2" t="s">
        <v>300</v>
      </c>
      <c r="D209" s="2" t="s">
        <v>431</v>
      </c>
      <c r="E209" s="6">
        <v>2700</v>
      </c>
      <c r="F209" s="18">
        <v>0</v>
      </c>
      <c r="G209" s="18">
        <v>0</v>
      </c>
      <c r="H209" s="18">
        <f>1147878.54-125.46</f>
        <v>1147753.08</v>
      </c>
      <c r="I209" s="18">
        <v>0</v>
      </c>
      <c r="J209" s="18">
        <v>0</v>
      </c>
      <c r="K209" s="18">
        <v>0</v>
      </c>
      <c r="L209" s="19">
        <f t="shared" si="0"/>
        <v>1147753.08</v>
      </c>
      <c r="M209" s="8"/>
      <c r="N209" s="266"/>
    </row>
    <row r="210" spans="1:14" s="3" customFormat="1" ht="12.2" customHeight="1" x14ac:dyDescent="0.15">
      <c r="A210" s="1" t="s">
        <v>449</v>
      </c>
      <c r="B210" s="2" t="s">
        <v>341</v>
      </c>
      <c r="C210" s="2" t="s">
        <v>343</v>
      </c>
      <c r="D210" s="2" t="s">
        <v>431</v>
      </c>
      <c r="E210" s="6">
        <v>2800</v>
      </c>
      <c r="F210" s="18">
        <v>24353.25</v>
      </c>
      <c r="G210" s="18">
        <v>5804.47</v>
      </c>
      <c r="H210" s="18">
        <v>47328.66</v>
      </c>
      <c r="I210" s="18">
        <v>14558.98</v>
      </c>
      <c r="J210" s="18">
        <v>0</v>
      </c>
      <c r="K210" s="18">
        <v>0</v>
      </c>
      <c r="L210" s="19">
        <f>SUM(F210:K210)</f>
        <v>92045.36</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14507602.969999999</v>
      </c>
      <c r="G212" s="41">
        <f t="shared" si="1"/>
        <v>6867941.6599999992</v>
      </c>
      <c r="H212" s="41">
        <f t="shared" si="1"/>
        <v>2459108.2300000004</v>
      </c>
      <c r="I212" s="41">
        <f t="shared" si="1"/>
        <v>970694.51</v>
      </c>
      <c r="J212" s="41">
        <f t="shared" si="1"/>
        <v>263352.78000000003</v>
      </c>
      <c r="K212" s="41">
        <f t="shared" si="1"/>
        <v>12949.32</v>
      </c>
      <c r="L212" s="41">
        <f t="shared" si="1"/>
        <v>25081649.469999999</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f>352245.84+3928793.6</f>
        <v>4281039.4400000004</v>
      </c>
      <c r="G216" s="18">
        <f>180769.76+2002829.15</f>
        <v>2183598.91</v>
      </c>
      <c r="H216" s="18">
        <f>791.43+2294.4</f>
        <v>3085.83</v>
      </c>
      <c r="I216" s="18">
        <f>23620.03+92217.96</f>
        <v>115837.99</v>
      </c>
      <c r="J216" s="18">
        <f>3191.62</f>
        <v>3191.62</v>
      </c>
      <c r="K216" s="18">
        <v>1540.96</v>
      </c>
      <c r="L216" s="19">
        <f>SUM(F216:K216)</f>
        <v>6588294.7500000009</v>
      </c>
      <c r="M216" s="8"/>
      <c r="N216" s="266"/>
    </row>
    <row r="217" spans="1:14" s="3" customFormat="1" ht="12.2" customHeight="1" x14ac:dyDescent="0.15">
      <c r="A217" s="1" t="s">
        <v>439</v>
      </c>
      <c r="B217" s="2" t="s">
        <v>346</v>
      </c>
      <c r="C217" s="2" t="s">
        <v>291</v>
      </c>
      <c r="D217" s="2" t="s">
        <v>431</v>
      </c>
      <c r="E217" s="6">
        <v>1200</v>
      </c>
      <c r="F217" s="18">
        <f>1301268.74+195055.01</f>
        <v>1496323.75</v>
      </c>
      <c r="G217" s="18">
        <f>563699.91+99704.14</f>
        <v>663404.05000000005</v>
      </c>
      <c r="H217" s="18">
        <f>147711.65+103782.59</f>
        <v>251494.24</v>
      </c>
      <c r="I217" s="18">
        <f>7040.59+873.44</f>
        <v>7914.0300000000007</v>
      </c>
      <c r="J217" s="18">
        <f>3139.79</f>
        <v>3139.79</v>
      </c>
      <c r="K217" s="18">
        <f>219.52</f>
        <v>219.52</v>
      </c>
      <c r="L217" s="19">
        <f>SUM(F217:K217)</f>
        <v>2422495.38</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f>1248.75+47783.43</f>
        <v>49032.18</v>
      </c>
      <c r="G219" s="18">
        <f>307.69+17341.35</f>
        <v>17649.039999999997</v>
      </c>
      <c r="H219" s="18">
        <f>0+11682.73</f>
        <v>11682.73</v>
      </c>
      <c r="I219" s="18">
        <v>7625.67</v>
      </c>
      <c r="J219" s="18">
        <v>0</v>
      </c>
      <c r="K219" s="18">
        <f>977.36+2447.92</f>
        <v>3425.28</v>
      </c>
      <c r="L219" s="19">
        <f>SUM(F219:K219)</f>
        <v>89414.9</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f>324935.2+438360.37</f>
        <v>763295.57000000007</v>
      </c>
      <c r="G221" s="18">
        <f>162512.98+221926.86</f>
        <v>384439.83999999997</v>
      </c>
      <c r="H221" s="18">
        <f>21465.42+86735.93</f>
        <v>108201.34999999999</v>
      </c>
      <c r="I221" s="18">
        <f>3050.32+112400.69</f>
        <v>115451.01000000001</v>
      </c>
      <c r="J221" s="18">
        <v>0</v>
      </c>
      <c r="K221" s="18">
        <v>0</v>
      </c>
      <c r="L221" s="19">
        <f t="shared" ref="L221:L227" si="2">SUM(F221:K221)</f>
        <v>1371387.7700000003</v>
      </c>
      <c r="M221" s="8"/>
      <c r="N221" s="266"/>
    </row>
    <row r="222" spans="1:14" s="3" customFormat="1" ht="12.2" customHeight="1" x14ac:dyDescent="0.15">
      <c r="A222" s="1" t="s">
        <v>443</v>
      </c>
      <c r="B222" s="2" t="s">
        <v>346</v>
      </c>
      <c r="C222" s="2" t="s">
        <v>295</v>
      </c>
      <c r="D222" s="2" t="s">
        <v>431</v>
      </c>
      <c r="E222" s="6">
        <v>2200</v>
      </c>
      <c r="F222" s="18">
        <f>31513.08+258437.55</f>
        <v>289950.63</v>
      </c>
      <c r="G222" s="18">
        <f>11661.1+92915.73</f>
        <v>104576.83</v>
      </c>
      <c r="H222" s="18">
        <f>34434.5+0</f>
        <v>34434.5</v>
      </c>
      <c r="I222" s="18">
        <f>13545.11+57475.17</f>
        <v>71020.28</v>
      </c>
      <c r="J222" s="18">
        <f>79469.15+0</f>
        <v>79469.149999999994</v>
      </c>
      <c r="K222" s="18">
        <v>0</v>
      </c>
      <c r="L222" s="19">
        <f t="shared" si="2"/>
        <v>579451.39</v>
      </c>
      <c r="M222" s="8"/>
      <c r="N222" s="266"/>
    </row>
    <row r="223" spans="1:14" s="3" customFormat="1" ht="12.2" customHeight="1" x14ac:dyDescent="0.15">
      <c r="A223" s="1" t="s">
        <v>444</v>
      </c>
      <c r="B223" s="2" t="s">
        <v>346</v>
      </c>
      <c r="C223" s="2" t="s">
        <v>296</v>
      </c>
      <c r="D223" s="2" t="s">
        <v>431</v>
      </c>
      <c r="E223" s="6">
        <v>2300</v>
      </c>
      <c r="F223" s="18">
        <v>125272.91</v>
      </c>
      <c r="G223" s="18">
        <v>67073.5</v>
      </c>
      <c r="H223" s="18">
        <v>15493.7</v>
      </c>
      <c r="I223" s="18">
        <v>2153.7800000000002</v>
      </c>
      <c r="J223" s="18">
        <v>0</v>
      </c>
      <c r="K223" s="18">
        <v>3178.19</v>
      </c>
      <c r="L223" s="19">
        <f t="shared" si="2"/>
        <v>213172.08000000002</v>
      </c>
      <c r="M223" s="8"/>
      <c r="N223" s="266"/>
    </row>
    <row r="224" spans="1:14" s="3" customFormat="1" ht="12.2" customHeight="1" x14ac:dyDescent="0.15">
      <c r="A224" s="1" t="s">
        <v>445</v>
      </c>
      <c r="B224" s="2" t="s">
        <v>346</v>
      </c>
      <c r="C224" s="2" t="s">
        <v>297</v>
      </c>
      <c r="D224" s="2" t="s">
        <v>431</v>
      </c>
      <c r="E224" s="6">
        <v>2400</v>
      </c>
      <c r="F224" s="18">
        <f>1096.4+412420.08</f>
        <v>413516.48000000004</v>
      </c>
      <c r="G224" s="18">
        <f>94.46+265653.93</f>
        <v>265748.39</v>
      </c>
      <c r="H224" s="18">
        <f>208.13+58784.84</f>
        <v>58992.969999999994</v>
      </c>
      <c r="I224" s="18">
        <f>0+5071.58</f>
        <v>5071.58</v>
      </c>
      <c r="J224" s="18">
        <v>0</v>
      </c>
      <c r="K224" s="18">
        <f>536.13+560</f>
        <v>1096.1300000000001</v>
      </c>
      <c r="L224" s="19">
        <f t="shared" si="2"/>
        <v>744425.55</v>
      </c>
      <c r="M224" s="8"/>
      <c r="N224" s="266"/>
    </row>
    <row r="225" spans="1:14" s="3" customFormat="1" ht="12.2" customHeight="1" x14ac:dyDescent="0.15">
      <c r="A225" s="1" t="s">
        <v>446</v>
      </c>
      <c r="B225" s="2" t="s">
        <v>346</v>
      </c>
      <c r="C225" s="2" t="s">
        <v>298</v>
      </c>
      <c r="D225" s="2" t="s">
        <v>431</v>
      </c>
      <c r="E225" s="6">
        <v>2500</v>
      </c>
      <c r="F225" s="18">
        <v>74366.149999999994</v>
      </c>
      <c r="G225" s="18">
        <v>42018.33</v>
      </c>
      <c r="H225" s="18">
        <v>4055.3</v>
      </c>
      <c r="I225" s="18">
        <v>0</v>
      </c>
      <c r="J225" s="18">
        <v>0</v>
      </c>
      <c r="K225" s="18">
        <v>0</v>
      </c>
      <c r="L225" s="19">
        <f t="shared" si="2"/>
        <v>120439.78</v>
      </c>
      <c r="M225" s="8"/>
      <c r="N225" s="266"/>
    </row>
    <row r="226" spans="1:14" s="3" customFormat="1" ht="12.2" customHeight="1" x14ac:dyDescent="0.15">
      <c r="A226" s="1" t="s">
        <v>447</v>
      </c>
      <c r="B226" s="2" t="s">
        <v>346</v>
      </c>
      <c r="C226" s="2" t="s">
        <v>299</v>
      </c>
      <c r="D226" s="2" t="s">
        <v>431</v>
      </c>
      <c r="E226" s="6">
        <v>2600</v>
      </c>
      <c r="F226" s="18">
        <v>289869.98</v>
      </c>
      <c r="G226" s="18">
        <v>171684.11</v>
      </c>
      <c r="H226" s="18">
        <f>15415.55+210727.71</f>
        <v>226143.25999999998</v>
      </c>
      <c r="I226" s="18">
        <v>162474.01</v>
      </c>
      <c r="J226" s="18">
        <v>9835.4500000000007</v>
      </c>
      <c r="K226" s="18"/>
      <c r="L226" s="19">
        <f t="shared" si="2"/>
        <v>860006.80999999994</v>
      </c>
      <c r="M226" s="8"/>
      <c r="N226" s="266"/>
    </row>
    <row r="227" spans="1:14" s="3" customFormat="1" ht="12.2" customHeight="1" x14ac:dyDescent="0.15">
      <c r="A227" s="1" t="s">
        <v>448</v>
      </c>
      <c r="B227" s="2" t="s">
        <v>346</v>
      </c>
      <c r="C227" s="2" t="s">
        <v>300</v>
      </c>
      <c r="D227" s="2" t="s">
        <v>431</v>
      </c>
      <c r="E227" s="6">
        <v>2700</v>
      </c>
      <c r="F227" s="18"/>
      <c r="G227" s="18"/>
      <c r="H227" s="18">
        <f>581635.33+217.29</f>
        <v>581852.62</v>
      </c>
      <c r="I227" s="18"/>
      <c r="J227" s="18"/>
      <c r="K227" s="18"/>
      <c r="L227" s="19">
        <f t="shared" si="2"/>
        <v>581852.62</v>
      </c>
      <c r="M227" s="8"/>
      <c r="N227" s="266"/>
    </row>
    <row r="228" spans="1:14" s="3" customFormat="1" ht="12.2" customHeight="1" x14ac:dyDescent="0.15">
      <c r="A228" s="1" t="s">
        <v>449</v>
      </c>
      <c r="B228" s="2" t="s">
        <v>346</v>
      </c>
      <c r="C228" s="2" t="s">
        <v>343</v>
      </c>
      <c r="D228" s="2" t="s">
        <v>431</v>
      </c>
      <c r="E228" s="6">
        <v>2800</v>
      </c>
      <c r="F228" s="18">
        <v>12176.62</v>
      </c>
      <c r="G228" s="18">
        <v>2902.24</v>
      </c>
      <c r="H228" s="18">
        <v>23664.33</v>
      </c>
      <c r="I228" s="18">
        <v>7279.49</v>
      </c>
      <c r="J228" s="18">
        <v>0</v>
      </c>
      <c r="K228" s="18">
        <v>0</v>
      </c>
      <c r="L228" s="19">
        <f>SUM(F228:K228)</f>
        <v>46022.68</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7794843.7100000018</v>
      </c>
      <c r="G230" s="41">
        <f>SUM(G216:G229)</f>
        <v>3903095.24</v>
      </c>
      <c r="H230" s="41">
        <f>SUM(H216:H229)</f>
        <v>1319100.83</v>
      </c>
      <c r="I230" s="41">
        <f>SUM(I216:I229)</f>
        <v>494827.84</v>
      </c>
      <c r="J230" s="41">
        <f>SUM(J216:J229)</f>
        <v>95636.01</v>
      </c>
      <c r="K230" s="41">
        <f t="shared" si="3"/>
        <v>9460.0800000000017</v>
      </c>
      <c r="L230" s="41">
        <f t="shared" si="3"/>
        <v>13616963.710000001</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v>5925553.46</v>
      </c>
      <c r="G234" s="18">
        <v>3111072.13</v>
      </c>
      <c r="H234" s="18">
        <v>26638.57</v>
      </c>
      <c r="I234" s="18">
        <f>141272.15-0.04</f>
        <v>141272.10999999999</v>
      </c>
      <c r="J234" s="18">
        <v>40343.410000000003</v>
      </c>
      <c r="K234" s="18">
        <v>0</v>
      </c>
      <c r="L234" s="19">
        <f>SUM(F234:K234)</f>
        <v>9244879.6799999997</v>
      </c>
      <c r="M234" s="8"/>
      <c r="N234" s="266"/>
    </row>
    <row r="235" spans="1:14" s="3" customFormat="1" ht="12.2" customHeight="1" x14ac:dyDescent="0.15">
      <c r="A235" s="1" t="s">
        <v>439</v>
      </c>
      <c r="B235" s="2" t="s">
        <v>350</v>
      </c>
      <c r="C235" s="2" t="s">
        <v>291</v>
      </c>
      <c r="D235" s="2" t="s">
        <v>431</v>
      </c>
      <c r="E235" s="6">
        <v>1200</v>
      </c>
      <c r="F235" s="18">
        <v>1363758.21</v>
      </c>
      <c r="G235" s="18">
        <v>771972.57</v>
      </c>
      <c r="H235" s="18">
        <f>880560.72-0.31</f>
        <v>880560.40999999992</v>
      </c>
      <c r="I235" s="18">
        <v>11087.91</v>
      </c>
      <c r="J235" s="18">
        <v>0</v>
      </c>
      <c r="K235" s="18">
        <v>321.44</v>
      </c>
      <c r="L235" s="19">
        <f>SUM(F235:K235)</f>
        <v>3027700.5399999996</v>
      </c>
      <c r="M235" s="8"/>
      <c r="N235" s="266"/>
    </row>
    <row r="236" spans="1:14" s="3" customFormat="1" ht="12.2" customHeight="1" x14ac:dyDescent="0.15">
      <c r="A236" s="1" t="s">
        <v>440</v>
      </c>
      <c r="B236" s="2" t="s">
        <v>350</v>
      </c>
      <c r="C236" s="2" t="s">
        <v>292</v>
      </c>
      <c r="D236" s="2" t="s">
        <v>431</v>
      </c>
      <c r="E236" s="6">
        <v>1300</v>
      </c>
      <c r="F236" s="18">
        <f>1030911.77+10912.02</f>
        <v>1041823.79</v>
      </c>
      <c r="G236" s="18">
        <f>543662.76+834.77</f>
        <v>544497.53</v>
      </c>
      <c r="H236" s="18">
        <v>32500.98</v>
      </c>
      <c r="I236" s="18">
        <f>83344.42+0.01</f>
        <v>83344.429999999993</v>
      </c>
      <c r="J236" s="18">
        <v>0</v>
      </c>
      <c r="K236" s="18">
        <v>0</v>
      </c>
      <c r="L236" s="19">
        <f>SUM(F236:K236)</f>
        <v>1702166.73</v>
      </c>
      <c r="M236" s="8"/>
      <c r="N236" s="266"/>
    </row>
    <row r="237" spans="1:14" s="3" customFormat="1" ht="12.2" customHeight="1" x14ac:dyDescent="0.15">
      <c r="A237" s="1" t="s">
        <v>441</v>
      </c>
      <c r="B237" s="2" t="s">
        <v>350</v>
      </c>
      <c r="C237" s="2" t="s">
        <v>293</v>
      </c>
      <c r="D237" s="2" t="s">
        <v>431</v>
      </c>
      <c r="E237" s="6">
        <v>1400</v>
      </c>
      <c r="F237" s="18">
        <v>428697.99</v>
      </c>
      <c r="G237" s="18">
        <v>126883.89</v>
      </c>
      <c r="H237" s="18">
        <v>141344.04</v>
      </c>
      <c r="I237" s="18">
        <v>49231.89</v>
      </c>
      <c r="J237" s="18">
        <v>0</v>
      </c>
      <c r="K237" s="18">
        <v>12069.24</v>
      </c>
      <c r="L237" s="19">
        <f>SUM(F237:K237)</f>
        <v>758227.05</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v>896273.77</v>
      </c>
      <c r="G239" s="18">
        <v>490386.21</v>
      </c>
      <c r="H239" s="18">
        <v>135376.65</v>
      </c>
      <c r="I239" s="18">
        <v>24179.06</v>
      </c>
      <c r="J239" s="18"/>
      <c r="K239" s="18">
        <v>344</v>
      </c>
      <c r="L239" s="19">
        <f t="shared" ref="L239:L245" si="4">SUM(F239:K239)</f>
        <v>1546559.69</v>
      </c>
      <c r="M239" s="8"/>
      <c r="N239" s="266"/>
    </row>
    <row r="240" spans="1:14" s="3" customFormat="1" ht="12.2" customHeight="1" x14ac:dyDescent="0.15">
      <c r="A240" s="1" t="s">
        <v>443</v>
      </c>
      <c r="B240" s="2" t="s">
        <v>350</v>
      </c>
      <c r="C240" s="2" t="s">
        <v>295</v>
      </c>
      <c r="D240" s="2" t="s">
        <v>431</v>
      </c>
      <c r="E240" s="6">
        <v>2200</v>
      </c>
      <c r="F240" s="18">
        <v>439234.22</v>
      </c>
      <c r="G240" s="18">
        <v>170876.65</v>
      </c>
      <c r="H240" s="18">
        <v>54125.94</v>
      </c>
      <c r="I240" s="18">
        <v>82923.33</v>
      </c>
      <c r="J240" s="18">
        <f>116365.54-0.01</f>
        <v>116365.53</v>
      </c>
      <c r="K240" s="18">
        <v>0</v>
      </c>
      <c r="L240" s="19">
        <f t="shared" si="4"/>
        <v>863525.67</v>
      </c>
      <c r="M240" s="8"/>
      <c r="N240" s="266"/>
    </row>
    <row r="241" spans="1:14" s="3" customFormat="1" ht="12.2" customHeight="1" x14ac:dyDescent="0.15">
      <c r="A241" s="1" t="s">
        <v>444</v>
      </c>
      <c r="B241" s="2" t="s">
        <v>350</v>
      </c>
      <c r="C241" s="2" t="s">
        <v>296</v>
      </c>
      <c r="D241" s="2" t="s">
        <v>431</v>
      </c>
      <c r="E241" s="6">
        <v>2300</v>
      </c>
      <c r="F241" s="18">
        <v>183435.33</v>
      </c>
      <c r="G241" s="18">
        <v>98214.77</v>
      </c>
      <c r="H241" s="18">
        <v>22687.200000000001</v>
      </c>
      <c r="I241" s="18">
        <v>3153.76</v>
      </c>
      <c r="J241" s="18">
        <v>0</v>
      </c>
      <c r="K241" s="18">
        <v>4653.78</v>
      </c>
      <c r="L241" s="19">
        <f t="shared" si="4"/>
        <v>312144.84000000003</v>
      </c>
      <c r="M241" s="8"/>
      <c r="N241" s="266"/>
    </row>
    <row r="242" spans="1:14" s="3" customFormat="1" ht="12.2" customHeight="1" x14ac:dyDescent="0.15">
      <c r="A242" s="1" t="s">
        <v>445</v>
      </c>
      <c r="B242" s="2" t="s">
        <v>350</v>
      </c>
      <c r="C242" s="2" t="s">
        <v>297</v>
      </c>
      <c r="D242" s="2" t="s">
        <v>431</v>
      </c>
      <c r="E242" s="6">
        <v>2400</v>
      </c>
      <c r="F242" s="18">
        <v>695809.35</v>
      </c>
      <c r="G242" s="18">
        <v>410547.91</v>
      </c>
      <c r="H242" s="18">
        <v>107465.82</v>
      </c>
      <c r="I242" s="18">
        <v>21141.56</v>
      </c>
      <c r="J242" s="18">
        <v>0</v>
      </c>
      <c r="K242" s="18">
        <v>853</v>
      </c>
      <c r="L242" s="19">
        <f t="shared" si="4"/>
        <v>1235817.6400000001</v>
      </c>
      <c r="M242" s="8"/>
      <c r="N242" s="266"/>
    </row>
    <row r="243" spans="1:14" s="3" customFormat="1" ht="12.2" customHeight="1" x14ac:dyDescent="0.15">
      <c r="A243" s="1" t="s">
        <v>446</v>
      </c>
      <c r="B243" s="2" t="s">
        <v>350</v>
      </c>
      <c r="C243" s="2" t="s">
        <v>298</v>
      </c>
      <c r="D243" s="2" t="s">
        <v>431</v>
      </c>
      <c r="E243" s="6">
        <v>2500</v>
      </c>
      <c r="F243" s="18">
        <v>108893.3</v>
      </c>
      <c r="G243" s="18">
        <v>61526.85</v>
      </c>
      <c r="H243" s="18">
        <v>5938.11</v>
      </c>
      <c r="I243" s="18">
        <v>0</v>
      </c>
      <c r="J243" s="18">
        <v>0</v>
      </c>
      <c r="K243" s="18">
        <v>0</v>
      </c>
      <c r="L243" s="19">
        <f t="shared" si="4"/>
        <v>176358.25999999998</v>
      </c>
      <c r="M243" s="8"/>
      <c r="N243" s="266"/>
    </row>
    <row r="244" spans="1:14" s="3" customFormat="1" ht="12.2" customHeight="1" x14ac:dyDescent="0.15">
      <c r="A244" s="1" t="s">
        <v>447</v>
      </c>
      <c r="B244" s="2" t="s">
        <v>350</v>
      </c>
      <c r="C244" s="2" t="s">
        <v>299</v>
      </c>
      <c r="D244" s="2" t="s">
        <v>431</v>
      </c>
      <c r="E244" s="6">
        <v>2600</v>
      </c>
      <c r="F244" s="18">
        <v>733218.76</v>
      </c>
      <c r="G244" s="18">
        <v>406856.83</v>
      </c>
      <c r="H244" s="18">
        <v>383055.66</v>
      </c>
      <c r="I244" s="18">
        <v>607232.92000000004</v>
      </c>
      <c r="J244" s="18">
        <v>14401.91</v>
      </c>
      <c r="K244" s="18">
        <v>0</v>
      </c>
      <c r="L244" s="19">
        <f t="shared" si="4"/>
        <v>2144766.08</v>
      </c>
      <c r="M244" s="8"/>
      <c r="N244" s="266"/>
    </row>
    <row r="245" spans="1:14" s="3" customFormat="1" ht="12.2" customHeight="1" x14ac:dyDescent="0.15">
      <c r="A245" s="1" t="s">
        <v>448</v>
      </c>
      <c r="B245" s="2" t="s">
        <v>350</v>
      </c>
      <c r="C245" s="2" t="s">
        <v>300</v>
      </c>
      <c r="D245" s="2" t="s">
        <v>431</v>
      </c>
      <c r="E245" s="6">
        <v>2700</v>
      </c>
      <c r="F245" s="18"/>
      <c r="G245" s="18"/>
      <c r="H245" s="18">
        <f>911678.03-91.83</f>
        <v>911586.20000000007</v>
      </c>
      <c r="I245" s="18"/>
      <c r="J245" s="18"/>
      <c r="K245" s="18"/>
      <c r="L245" s="19">
        <f t="shared" si="4"/>
        <v>911586.20000000007</v>
      </c>
      <c r="M245" s="8"/>
      <c r="N245" s="266"/>
    </row>
    <row r="246" spans="1:14" s="3" customFormat="1" ht="12.2" customHeight="1" x14ac:dyDescent="0.15">
      <c r="A246" s="1" t="s">
        <v>449</v>
      </c>
      <c r="B246" s="2" t="s">
        <v>350</v>
      </c>
      <c r="C246" s="2" t="s">
        <v>343</v>
      </c>
      <c r="D246" s="2" t="s">
        <v>431</v>
      </c>
      <c r="E246" s="6">
        <v>2800</v>
      </c>
      <c r="F246" s="18">
        <v>17830.060000000001</v>
      </c>
      <c r="G246" s="18">
        <v>4249.7</v>
      </c>
      <c r="H246" s="18">
        <v>34651.339999999997</v>
      </c>
      <c r="I246" s="18">
        <v>10659.26</v>
      </c>
      <c r="J246" s="18">
        <v>0</v>
      </c>
      <c r="K246" s="18">
        <v>0</v>
      </c>
      <c r="L246" s="19">
        <f>SUM(F246:K246)</f>
        <v>67390.36</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11834528.24</v>
      </c>
      <c r="G248" s="41">
        <f t="shared" si="5"/>
        <v>6197085.0399999991</v>
      </c>
      <c r="H248" s="41">
        <f t="shared" si="5"/>
        <v>2735930.9199999995</v>
      </c>
      <c r="I248" s="41">
        <f t="shared" si="5"/>
        <v>1034226.23</v>
      </c>
      <c r="J248" s="41">
        <f t="shared" si="5"/>
        <v>171110.85</v>
      </c>
      <c r="K248" s="41">
        <f t="shared" si="5"/>
        <v>18241.46</v>
      </c>
      <c r="L248" s="41">
        <f t="shared" si="5"/>
        <v>21991122.739999998</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v>139866.79999999999</v>
      </c>
      <c r="G252" s="18">
        <v>45650.98</v>
      </c>
      <c r="H252" s="18">
        <v>11818.01</v>
      </c>
      <c r="I252" s="18">
        <v>3700.69</v>
      </c>
      <c r="J252" s="18">
        <v>0</v>
      </c>
      <c r="K252" s="18">
        <v>0</v>
      </c>
      <c r="L252" s="19">
        <f t="shared" si="6"/>
        <v>201036.48</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v>1731348.68</v>
      </c>
      <c r="I256" s="18"/>
      <c r="J256" s="18"/>
      <c r="K256" s="18"/>
      <c r="L256" s="19">
        <f t="shared" si="6"/>
        <v>1731348.68</v>
      </c>
      <c r="M256" s="8"/>
      <c r="N256" s="266"/>
    </row>
    <row r="257" spans="1:14" s="3" customFormat="1" ht="12.2" customHeight="1" thickTop="1" thickBot="1" x14ac:dyDescent="0.2">
      <c r="A257" s="38" t="s">
        <v>461</v>
      </c>
      <c r="B257" s="40">
        <v>10</v>
      </c>
      <c r="C257" s="40">
        <v>7</v>
      </c>
      <c r="D257" s="39" t="s">
        <v>431</v>
      </c>
      <c r="E257" s="40"/>
      <c r="F257" s="41">
        <f t="shared" ref="F257:K257" si="7">SUM(F251:F256)</f>
        <v>139866.79999999999</v>
      </c>
      <c r="G257" s="41">
        <f t="shared" si="7"/>
        <v>45650.98</v>
      </c>
      <c r="H257" s="41">
        <f t="shared" si="7"/>
        <v>1743166.69</v>
      </c>
      <c r="I257" s="41">
        <f t="shared" si="7"/>
        <v>3700.69</v>
      </c>
      <c r="J257" s="41">
        <f t="shared" si="7"/>
        <v>0</v>
      </c>
      <c r="K257" s="41">
        <f t="shared" si="7"/>
        <v>0</v>
      </c>
      <c r="L257" s="41">
        <f>SUM(F257:K257)</f>
        <v>1932385.16</v>
      </c>
      <c r="M257" s="8"/>
      <c r="N257" s="266"/>
    </row>
    <row r="258" spans="1:14" s="3" customFormat="1" ht="12.2" customHeight="1" thickTop="1" x14ac:dyDescent="0.15">
      <c r="A258" s="38" t="s">
        <v>462</v>
      </c>
      <c r="B258" s="40">
        <v>10</v>
      </c>
      <c r="C258" s="40">
        <v>8</v>
      </c>
      <c r="D258" s="39" t="s">
        <v>431</v>
      </c>
      <c r="E258" s="40"/>
      <c r="F258" s="41">
        <f t="shared" ref="F258:L258" si="8">F212+F230+F248+F257</f>
        <v>34276841.719999999</v>
      </c>
      <c r="G258" s="41">
        <f t="shared" si="8"/>
        <v>17013772.919999998</v>
      </c>
      <c r="H258" s="41">
        <f t="shared" si="8"/>
        <v>8257306.6699999999</v>
      </c>
      <c r="I258" s="41">
        <f t="shared" si="8"/>
        <v>2503449.27</v>
      </c>
      <c r="J258" s="41">
        <f t="shared" si="8"/>
        <v>530099.64</v>
      </c>
      <c r="K258" s="41">
        <f t="shared" si="8"/>
        <v>40650.86</v>
      </c>
      <c r="L258" s="41">
        <f t="shared" si="8"/>
        <v>62622121.079999998</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4910000</v>
      </c>
      <c r="L261" s="19">
        <f>SUM(F261:K261)</f>
        <v>4910000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2452785.83</v>
      </c>
      <c r="L262" s="19">
        <f>SUM(F262:K262)</f>
        <v>2452785.83</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7362785.8300000001</v>
      </c>
      <c r="L271" s="41">
        <f t="shared" si="9"/>
        <v>7362785.8300000001</v>
      </c>
      <c r="M271" s="8"/>
      <c r="N271" s="266"/>
    </row>
    <row r="272" spans="1:14" s="34" customFormat="1" ht="12.2" customHeight="1" thickTop="1" x14ac:dyDescent="0.2">
      <c r="A272" s="43" t="s">
        <v>464</v>
      </c>
      <c r="B272" s="40">
        <v>10</v>
      </c>
      <c r="C272" s="40">
        <v>18</v>
      </c>
      <c r="D272" s="39" t="s">
        <v>431</v>
      </c>
      <c r="E272" s="40"/>
      <c r="F272" s="42">
        <f t="shared" ref="F272:L272" si="11">F258+F271</f>
        <v>34276841.719999999</v>
      </c>
      <c r="G272" s="42">
        <f t="shared" si="11"/>
        <v>17013772.919999998</v>
      </c>
      <c r="H272" s="42">
        <f t="shared" si="11"/>
        <v>8257306.6699999999</v>
      </c>
      <c r="I272" s="42">
        <f t="shared" si="11"/>
        <v>2503449.27</v>
      </c>
      <c r="J272" s="42">
        <f t="shared" si="11"/>
        <v>530099.64</v>
      </c>
      <c r="K272" s="42">
        <f t="shared" si="11"/>
        <v>7403436.6900000004</v>
      </c>
      <c r="L272" s="42">
        <f t="shared" si="11"/>
        <v>69984906.909999996</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f>12782.39+252154.65</f>
        <v>264937.03999999998</v>
      </c>
      <c r="G277" s="18">
        <f>1952.01+19583.89</f>
        <v>21535.899999999998</v>
      </c>
      <c r="H277" s="18">
        <f>4092.05+610.31</f>
        <v>4702.3600000000006</v>
      </c>
      <c r="I277" s="18">
        <f>29355.41-500</f>
        <v>28855.41</v>
      </c>
      <c r="J277" s="18">
        <v>1134.57</v>
      </c>
      <c r="K277" s="18"/>
      <c r="L277" s="19">
        <f>SUM(F277:K277)</f>
        <v>321165.27999999997</v>
      </c>
      <c r="M277" s="8"/>
      <c r="N277" s="266"/>
    </row>
    <row r="278" spans="1:14" s="3" customFormat="1" ht="12.2" customHeight="1" x14ac:dyDescent="0.15">
      <c r="A278" s="1" t="s">
        <v>439</v>
      </c>
      <c r="B278" s="2" t="s">
        <v>357</v>
      </c>
      <c r="C278" s="2" t="s">
        <v>291</v>
      </c>
      <c r="D278" s="2" t="s">
        <v>431</v>
      </c>
      <c r="E278" s="6">
        <v>1200</v>
      </c>
      <c r="F278" s="18">
        <f>123699.27+55031.7</f>
        <v>178730.97</v>
      </c>
      <c r="G278" s="18">
        <f>138.57+8520.35</f>
        <v>8658.92</v>
      </c>
      <c r="H278" s="18">
        <v>24014.53</v>
      </c>
      <c r="I278" s="18">
        <v>1675.57</v>
      </c>
      <c r="J278" s="18"/>
      <c r="K278" s="18"/>
      <c r="L278" s="19">
        <f>SUM(F278:K278)</f>
        <v>213079.99000000002</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f>2435.46+0</f>
        <v>2435.46</v>
      </c>
      <c r="G280" s="18">
        <f>496.06+0</f>
        <v>496.06</v>
      </c>
      <c r="H280" s="18">
        <f>2423.08+3704.7</f>
        <v>6127.78</v>
      </c>
      <c r="I280" s="18">
        <f>9762.55+520.03-0.04</f>
        <v>10282.539999999999</v>
      </c>
      <c r="J280" s="18"/>
      <c r="K280" s="18"/>
      <c r="L280" s="19">
        <f>SUM(F280:K280)</f>
        <v>19341.839999999997</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f>86337.81+62026.04</f>
        <v>148363.85</v>
      </c>
      <c r="G282" s="18">
        <v>770.71</v>
      </c>
      <c r="H282" s="18">
        <f>45549.75</f>
        <v>45549.75</v>
      </c>
      <c r="I282" s="18">
        <v>125.46</v>
      </c>
      <c r="J282" s="18"/>
      <c r="K282" s="18"/>
      <c r="L282" s="19">
        <f t="shared" ref="L282:L288" si="12">SUM(F282:K282)</f>
        <v>194809.77</v>
      </c>
      <c r="M282" s="8"/>
      <c r="N282" s="266"/>
    </row>
    <row r="283" spans="1:14" s="3" customFormat="1" ht="12.2" customHeight="1" x14ac:dyDescent="0.15">
      <c r="A283" s="1" t="s">
        <v>443</v>
      </c>
      <c r="B283" s="2" t="s">
        <v>357</v>
      </c>
      <c r="C283" s="2" t="s">
        <v>295</v>
      </c>
      <c r="D283" s="2" t="s">
        <v>431</v>
      </c>
      <c r="E283" s="6">
        <v>2200</v>
      </c>
      <c r="F283" s="18">
        <f>2101.05+58310.11</f>
        <v>60411.16</v>
      </c>
      <c r="G283" s="18">
        <f>409.38+26104.5</f>
        <v>26513.88</v>
      </c>
      <c r="H283" s="18">
        <f>112+20536.25</f>
        <v>20648.25</v>
      </c>
      <c r="I283" s="18">
        <f>78.89+2189.9</f>
        <v>2268.79</v>
      </c>
      <c r="J283" s="18"/>
      <c r="K283" s="18">
        <v>3525.31</v>
      </c>
      <c r="L283" s="19">
        <f t="shared" si="12"/>
        <v>113367.39</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v>8698.2999999999993</v>
      </c>
      <c r="I285" s="18"/>
      <c r="J285" s="18"/>
      <c r="K285" s="18"/>
      <c r="L285" s="19">
        <f t="shared" si="12"/>
        <v>8698.2999999999993</v>
      </c>
      <c r="M285" s="8"/>
      <c r="N285" s="266"/>
    </row>
    <row r="286" spans="1:14" s="3" customFormat="1" ht="12.2" customHeight="1" x14ac:dyDescent="0.15">
      <c r="A286" s="1" t="s">
        <v>446</v>
      </c>
      <c r="B286" s="2" t="s">
        <v>357</v>
      </c>
      <c r="C286" s="2" t="s">
        <v>298</v>
      </c>
      <c r="D286" s="2" t="s">
        <v>431</v>
      </c>
      <c r="E286" s="6">
        <v>2500</v>
      </c>
      <c r="F286" s="18"/>
      <c r="G286" s="18">
        <v>4.08</v>
      </c>
      <c r="H286" s="18">
        <v>310.16000000000003</v>
      </c>
      <c r="I286" s="18"/>
      <c r="J286" s="18"/>
      <c r="K286" s="18"/>
      <c r="L286" s="19">
        <f t="shared" si="12"/>
        <v>314.24</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v>21156.240000000002</v>
      </c>
      <c r="I288" s="18"/>
      <c r="J288" s="18"/>
      <c r="K288" s="18"/>
      <c r="L288" s="19">
        <f t="shared" si="12"/>
        <v>21156.240000000002</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654878.4800000001</v>
      </c>
      <c r="G291" s="42">
        <f t="shared" si="13"/>
        <v>57979.55</v>
      </c>
      <c r="H291" s="42">
        <f t="shared" si="13"/>
        <v>131207.37</v>
      </c>
      <c r="I291" s="42">
        <f t="shared" si="13"/>
        <v>43207.77</v>
      </c>
      <c r="J291" s="42">
        <f t="shared" si="13"/>
        <v>1134.57</v>
      </c>
      <c r="K291" s="42">
        <f t="shared" si="13"/>
        <v>3525.31</v>
      </c>
      <c r="L291" s="41">
        <f t="shared" si="13"/>
        <v>891933.05</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f>6381.61</f>
        <v>6381.61</v>
      </c>
      <c r="G296" s="18">
        <f>974.54</f>
        <v>974.54</v>
      </c>
      <c r="H296" s="18">
        <f>2042.96+3625.7</f>
        <v>5668.66</v>
      </c>
      <c r="I296" s="18">
        <v>438.02</v>
      </c>
      <c r="J296" s="18">
        <v>566.42999999999995</v>
      </c>
      <c r="K296" s="18"/>
      <c r="L296" s="19">
        <f>SUM(F296:K296)</f>
        <v>14029.26</v>
      </c>
      <c r="M296" s="8"/>
      <c r="N296" s="266"/>
    </row>
    <row r="297" spans="1:14" s="3" customFormat="1" ht="12.2" customHeight="1" x14ac:dyDescent="0.15">
      <c r="A297" s="1" t="s">
        <v>439</v>
      </c>
      <c r="B297" s="2" t="s">
        <v>358</v>
      </c>
      <c r="C297" s="2" t="s">
        <v>291</v>
      </c>
      <c r="D297" s="2" t="s">
        <v>431</v>
      </c>
      <c r="E297" s="6">
        <v>1200</v>
      </c>
      <c r="F297" s="18">
        <f>27474.6+28526.85</f>
        <v>56001.45</v>
      </c>
      <c r="G297" s="18">
        <f>69.18+3675.7</f>
        <v>3744.8799999999997</v>
      </c>
      <c r="H297" s="18">
        <v>12007.26</v>
      </c>
      <c r="I297" s="18">
        <v>837.78</v>
      </c>
      <c r="J297" s="18"/>
      <c r="K297" s="18"/>
      <c r="L297" s="19">
        <f>SUM(F297:K297)</f>
        <v>72591.37</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f>1215.9+3281.34</f>
        <v>4497.24</v>
      </c>
      <c r="G299" s="18">
        <f>247.66+315.75</f>
        <v>563.41</v>
      </c>
      <c r="H299" s="18">
        <f>1209.72+1849.58</f>
        <v>3059.3</v>
      </c>
      <c r="I299" s="18">
        <f>4873.96+1150</f>
        <v>6023.96</v>
      </c>
      <c r="J299" s="18">
        <v>3829.66</v>
      </c>
      <c r="K299" s="18">
        <v>535</v>
      </c>
      <c r="L299" s="19">
        <f>SUM(F299:K299)</f>
        <v>18508.57</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f>43104.19+31013.02</f>
        <v>74117.210000000006</v>
      </c>
      <c r="G301" s="18">
        <v>385.35</v>
      </c>
      <c r="H301" s="18">
        <v>22774.880000000001</v>
      </c>
      <c r="I301" s="18">
        <v>62.73</v>
      </c>
      <c r="J301" s="18"/>
      <c r="K301" s="18"/>
      <c r="L301" s="19">
        <f t="shared" ref="L301:L307" si="14">SUM(F301:K301)</f>
        <v>97340.170000000013</v>
      </c>
      <c r="M301" s="8"/>
      <c r="N301" s="266"/>
    </row>
    <row r="302" spans="1:14" s="3" customFormat="1" ht="12.2" customHeight="1" x14ac:dyDescent="0.15">
      <c r="A302" s="1" t="s">
        <v>443</v>
      </c>
      <c r="B302" s="2" t="s">
        <v>358</v>
      </c>
      <c r="C302" s="2" t="s">
        <v>295</v>
      </c>
      <c r="D302" s="2" t="s">
        <v>431</v>
      </c>
      <c r="E302" s="6">
        <v>2200</v>
      </c>
      <c r="F302" s="18">
        <f>1048.95+29155.06</f>
        <v>30204.010000000002</v>
      </c>
      <c r="G302" s="18">
        <f>204.39+13052.25</f>
        <v>13256.64</v>
      </c>
      <c r="H302" s="18">
        <f>55.92+10268.12</f>
        <v>10324.040000000001</v>
      </c>
      <c r="I302" s="18">
        <f>39.38+1094.95</f>
        <v>1134.3300000000002</v>
      </c>
      <c r="J302" s="18"/>
      <c r="K302" s="18">
        <v>1762.66</v>
      </c>
      <c r="L302" s="19">
        <f t="shared" si="14"/>
        <v>56681.680000000008</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v>4349.1499999999996</v>
      </c>
      <c r="I304" s="18"/>
      <c r="J304" s="18"/>
      <c r="K304" s="18"/>
      <c r="L304" s="19">
        <f t="shared" si="14"/>
        <v>4349.1499999999996</v>
      </c>
      <c r="M304" s="8"/>
      <c r="N304" s="266"/>
    </row>
    <row r="305" spans="1:14" s="3" customFormat="1" ht="12.2" customHeight="1" x14ac:dyDescent="0.15">
      <c r="A305" s="1" t="s">
        <v>446</v>
      </c>
      <c r="B305" s="2" t="s">
        <v>358</v>
      </c>
      <c r="C305" s="2" t="s">
        <v>298</v>
      </c>
      <c r="D305" s="2" t="s">
        <v>431</v>
      </c>
      <c r="E305" s="6">
        <v>2500</v>
      </c>
      <c r="F305" s="18"/>
      <c r="G305" s="18">
        <f>2.04</f>
        <v>2.04</v>
      </c>
      <c r="H305" s="18">
        <f>154.85</f>
        <v>154.85</v>
      </c>
      <c r="I305" s="18"/>
      <c r="J305" s="18"/>
      <c r="K305" s="18"/>
      <c r="L305" s="19">
        <f t="shared" si="14"/>
        <v>156.88999999999999</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v>11703.12</v>
      </c>
      <c r="I307" s="18"/>
      <c r="J307" s="18"/>
      <c r="K307" s="18"/>
      <c r="L307" s="19">
        <f t="shared" si="14"/>
        <v>11703.12</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171201.52000000002</v>
      </c>
      <c r="G310" s="42">
        <f t="shared" si="15"/>
        <v>18926.86</v>
      </c>
      <c r="H310" s="42">
        <f t="shared" si="15"/>
        <v>70041.259999999995</v>
      </c>
      <c r="I310" s="42">
        <f t="shared" si="15"/>
        <v>8496.82</v>
      </c>
      <c r="J310" s="42">
        <f t="shared" si="15"/>
        <v>4396.09</v>
      </c>
      <c r="K310" s="42">
        <f t="shared" si="15"/>
        <v>2297.66</v>
      </c>
      <c r="L310" s="41">
        <f t="shared" si="15"/>
        <v>275360.21000000002</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v>167416.67000000001</v>
      </c>
      <c r="G316" s="18">
        <v>16407.560000000001</v>
      </c>
      <c r="H316" s="18">
        <v>17582.07</v>
      </c>
      <c r="I316" s="18">
        <v>1226.76</v>
      </c>
      <c r="J316" s="18"/>
      <c r="K316" s="18"/>
      <c r="L316" s="19">
        <f>SUM(F316:K316)</f>
        <v>202633.06000000003</v>
      </c>
      <c r="M316" s="8"/>
      <c r="N316" s="266"/>
    </row>
    <row r="317" spans="1:14" s="3" customFormat="1" ht="12.2" customHeight="1" x14ac:dyDescent="0.15">
      <c r="A317" s="1" t="s">
        <v>440</v>
      </c>
      <c r="B317" s="2" t="s">
        <v>359</v>
      </c>
      <c r="C317" s="2" t="s">
        <v>292</v>
      </c>
      <c r="D317" s="2" t="s">
        <v>431</v>
      </c>
      <c r="E317" s="6">
        <v>1300</v>
      </c>
      <c r="F317" s="18"/>
      <c r="G317" s="18"/>
      <c r="H317" s="18">
        <v>1377.84</v>
      </c>
      <c r="I317" s="18">
        <v>98209.75</v>
      </c>
      <c r="J317" s="18">
        <v>5185.5</v>
      </c>
      <c r="K317" s="18"/>
      <c r="L317" s="19">
        <f>SUM(F317:K317)</f>
        <v>104773.09</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v>57421.42</v>
      </c>
      <c r="G320" s="18">
        <v>1480.56</v>
      </c>
      <c r="H320" s="18">
        <v>33348.92</v>
      </c>
      <c r="I320" s="18">
        <v>91.86</v>
      </c>
      <c r="J320" s="18"/>
      <c r="K320" s="18"/>
      <c r="L320" s="19">
        <f t="shared" ref="L320:L326" si="16">SUM(F320:K320)</f>
        <v>92342.76</v>
      </c>
      <c r="M320" s="8"/>
      <c r="N320" s="266"/>
    </row>
    <row r="321" spans="1:14" s="3" customFormat="1" ht="12.2" customHeight="1" x14ac:dyDescent="0.15">
      <c r="A321" s="1" t="s">
        <v>443</v>
      </c>
      <c r="B321" s="2" t="s">
        <v>359</v>
      </c>
      <c r="C321" s="2" t="s">
        <v>295</v>
      </c>
      <c r="D321" s="2" t="s">
        <v>431</v>
      </c>
      <c r="E321" s="6">
        <v>2200</v>
      </c>
      <c r="F321" s="18">
        <v>43591.33</v>
      </c>
      <c r="G321" s="18">
        <v>19341.27</v>
      </c>
      <c r="H321" s="18">
        <v>24554.35</v>
      </c>
      <c r="I321" s="18">
        <v>1603.32</v>
      </c>
      <c r="J321" s="18"/>
      <c r="K321" s="18">
        <v>9361.4500000000007</v>
      </c>
      <c r="L321" s="19">
        <f t="shared" si="16"/>
        <v>98451.720000000016</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v>11130.75</v>
      </c>
      <c r="G323" s="18">
        <v>824.53</v>
      </c>
      <c r="H323" s="18">
        <v>18188.98</v>
      </c>
      <c r="I323" s="18"/>
      <c r="J323" s="18"/>
      <c r="K323" s="18"/>
      <c r="L323" s="19">
        <f t="shared" si="16"/>
        <v>30144.260000000002</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v>16296.05</v>
      </c>
      <c r="I326" s="18"/>
      <c r="J326" s="18"/>
      <c r="K326" s="18"/>
      <c r="L326" s="19">
        <f t="shared" si="16"/>
        <v>16296.05</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279560.17000000004</v>
      </c>
      <c r="G329" s="42">
        <f t="shared" si="17"/>
        <v>38053.919999999998</v>
      </c>
      <c r="H329" s="42">
        <f t="shared" si="17"/>
        <v>111348.20999999999</v>
      </c>
      <c r="I329" s="42">
        <f t="shared" si="17"/>
        <v>101131.69</v>
      </c>
      <c r="J329" s="42">
        <f t="shared" si="17"/>
        <v>5185.5</v>
      </c>
      <c r="K329" s="42">
        <f t="shared" si="17"/>
        <v>9361.4500000000007</v>
      </c>
      <c r="L329" s="41">
        <f t="shared" si="17"/>
        <v>544640.94000000006</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v>87102.5</v>
      </c>
      <c r="G334" s="18">
        <v>10519.89</v>
      </c>
      <c r="H334" s="18"/>
      <c r="I334" s="18">
        <v>724.9</v>
      </c>
      <c r="J334" s="18">
        <v>2152.5</v>
      </c>
      <c r="K334" s="18"/>
      <c r="L334" s="19">
        <f t="shared" si="18"/>
        <v>100499.79</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v>649.29999999999995</v>
      </c>
      <c r="G336" s="18">
        <v>81.400000000000006</v>
      </c>
      <c r="H336" s="18">
        <f>460+30306.92</f>
        <v>30766.92</v>
      </c>
      <c r="I336" s="18">
        <v>6130.11</v>
      </c>
      <c r="J336" s="18">
        <v>1560.93</v>
      </c>
      <c r="K336" s="18"/>
      <c r="L336" s="19">
        <f t="shared" si="18"/>
        <v>39188.659999999996</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87751.8</v>
      </c>
      <c r="G338" s="41">
        <f t="shared" si="19"/>
        <v>10601.289999999999</v>
      </c>
      <c r="H338" s="41">
        <f t="shared" si="19"/>
        <v>30766.92</v>
      </c>
      <c r="I338" s="41">
        <f t="shared" si="19"/>
        <v>6855.0099999999993</v>
      </c>
      <c r="J338" s="41">
        <f t="shared" si="19"/>
        <v>3713.4300000000003</v>
      </c>
      <c r="K338" s="41">
        <f t="shared" si="19"/>
        <v>0</v>
      </c>
      <c r="L338" s="41">
        <f t="shared" si="18"/>
        <v>139688.44999999998</v>
      </c>
      <c r="M338" s="8"/>
      <c r="N338" s="266"/>
    </row>
    <row r="339" spans="1:43" s="3" customFormat="1" ht="12.2" customHeight="1" thickTop="1" x14ac:dyDescent="0.15">
      <c r="A339" s="38" t="s">
        <v>468</v>
      </c>
      <c r="B339" s="40">
        <v>14</v>
      </c>
      <c r="C339" s="40">
        <v>7</v>
      </c>
      <c r="D339" s="39" t="s">
        <v>431</v>
      </c>
      <c r="E339" s="40"/>
      <c r="F339" s="41">
        <f t="shared" ref="F339:L339" si="20">F291+F310+F329+F338</f>
        <v>1193391.9700000002</v>
      </c>
      <c r="G339" s="41">
        <f t="shared" si="20"/>
        <v>125561.62</v>
      </c>
      <c r="H339" s="41">
        <f t="shared" si="20"/>
        <v>343363.75999999995</v>
      </c>
      <c r="I339" s="41">
        <f t="shared" si="20"/>
        <v>159691.29</v>
      </c>
      <c r="J339" s="41">
        <f t="shared" si="20"/>
        <v>14429.59</v>
      </c>
      <c r="K339" s="41">
        <f t="shared" si="20"/>
        <v>15184.42</v>
      </c>
      <c r="L339" s="41">
        <f t="shared" si="20"/>
        <v>1851622.6500000001</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f>6672.47+5733.52</f>
        <v>12405.990000000002</v>
      </c>
      <c r="L345" s="19">
        <f t="shared" ref="L345:L351" si="21">SUM(F345:K345)</f>
        <v>12405.990000000002</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12405.990000000002</v>
      </c>
      <c r="L352" s="41">
        <f>SUM(L342:L351)</f>
        <v>12405.990000000002</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1193391.9700000002</v>
      </c>
      <c r="G353" s="41">
        <f>G339</f>
        <v>125561.62</v>
      </c>
      <c r="H353" s="41">
        <f>H339</f>
        <v>343363.75999999995</v>
      </c>
      <c r="I353" s="41">
        <f>I339</f>
        <v>159691.29</v>
      </c>
      <c r="J353" s="41">
        <f>J339</f>
        <v>14429.59</v>
      </c>
      <c r="K353" s="47">
        <f>K339+K352</f>
        <v>27590.410000000003</v>
      </c>
      <c r="L353" s="41">
        <f>L339+L352</f>
        <v>1864028.6400000001</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v>293575.74</v>
      </c>
      <c r="G359" s="18">
        <v>63131.59</v>
      </c>
      <c r="H359" s="18">
        <v>14215.6</v>
      </c>
      <c r="I359" s="18">
        <v>165439.23000000001</v>
      </c>
      <c r="J359" s="18">
        <v>4895.53</v>
      </c>
      <c r="K359" s="18"/>
      <c r="L359" s="13">
        <f>SUM(F359:K359)</f>
        <v>541257.68999999994</v>
      </c>
      <c r="M359" s="8"/>
      <c r="N359" s="266"/>
    </row>
    <row r="360" spans="1:22" s="3" customFormat="1" ht="12.2" customHeight="1" x14ac:dyDescent="0.15">
      <c r="A360" s="1" t="s">
        <v>542</v>
      </c>
      <c r="B360" s="2" t="s">
        <v>366</v>
      </c>
      <c r="C360" s="6">
        <v>2</v>
      </c>
      <c r="D360" s="2" t="s">
        <v>431</v>
      </c>
      <c r="E360" s="6"/>
      <c r="F360" s="18">
        <v>142934.87</v>
      </c>
      <c r="G360" s="18">
        <v>60623.69</v>
      </c>
      <c r="H360" s="18">
        <v>4255.09</v>
      </c>
      <c r="I360" s="18">
        <v>118611.17</v>
      </c>
      <c r="J360" s="18">
        <v>2444.1</v>
      </c>
      <c r="K360" s="18"/>
      <c r="L360" s="19">
        <f>SUM(F360:K360)</f>
        <v>328868.92</v>
      </c>
      <c r="M360" s="8"/>
      <c r="N360" s="266"/>
    </row>
    <row r="361" spans="1:22" s="3" customFormat="1" ht="12.2" customHeight="1" x14ac:dyDescent="0.15">
      <c r="A361" s="3" t="s">
        <v>543</v>
      </c>
      <c r="B361" s="2" t="s">
        <v>366</v>
      </c>
      <c r="C361" s="6">
        <v>3</v>
      </c>
      <c r="D361" s="2" t="s">
        <v>431</v>
      </c>
      <c r="E361" s="6"/>
      <c r="F361" s="18">
        <v>159658.47</v>
      </c>
      <c r="G361" s="18">
        <v>100564.48</v>
      </c>
      <c r="H361" s="18">
        <v>4571.97</v>
      </c>
      <c r="I361" s="18">
        <v>258216.39</v>
      </c>
      <c r="J361" s="18">
        <v>263.57</v>
      </c>
      <c r="K361" s="18"/>
      <c r="L361" s="19">
        <f>SUM(F361:K361)</f>
        <v>523274.88</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596169.07999999996</v>
      </c>
      <c r="G363" s="47">
        <f t="shared" si="22"/>
        <v>224319.76</v>
      </c>
      <c r="H363" s="47">
        <f t="shared" si="22"/>
        <v>23042.660000000003</v>
      </c>
      <c r="I363" s="47">
        <f t="shared" si="22"/>
        <v>542266.79</v>
      </c>
      <c r="J363" s="47">
        <f t="shared" si="22"/>
        <v>7603.1999999999989</v>
      </c>
      <c r="K363" s="47">
        <f t="shared" si="22"/>
        <v>0</v>
      </c>
      <c r="L363" s="47">
        <f t="shared" si="22"/>
        <v>1393401.4899999998</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v>154154.01</v>
      </c>
      <c r="G368" s="18">
        <v>111470.64</v>
      </c>
      <c r="H368" s="18">
        <v>249574.28</v>
      </c>
      <c r="I368" s="56">
        <f>SUM(F368:H368)</f>
        <v>515198.93000000005</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11285.22</v>
      </c>
      <c r="G369" s="63">
        <v>7140.53</v>
      </c>
      <c r="H369" s="63">
        <v>8642.11</v>
      </c>
      <c r="I369" s="56">
        <f>SUM(F369:H369)</f>
        <v>27067.86</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165439.23000000001</v>
      </c>
      <c r="G370" s="47">
        <f>SUM(G368:G369)</f>
        <v>118611.17</v>
      </c>
      <c r="H370" s="47">
        <f>SUM(H368:H369)</f>
        <v>258216.39</v>
      </c>
      <c r="I370" s="47">
        <f>SUM(I368:I369)</f>
        <v>542266.79</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v>119372.6</v>
      </c>
      <c r="I379" s="18"/>
      <c r="J379" s="18">
        <f>78599.55-333.82</f>
        <v>78265.73</v>
      </c>
      <c r="K379" s="18"/>
      <c r="L379" s="13">
        <f t="shared" si="23"/>
        <v>197638.33000000002</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119372.6</v>
      </c>
      <c r="I383" s="41">
        <f t="shared" si="24"/>
        <v>0</v>
      </c>
      <c r="J383" s="47">
        <f t="shared" si="24"/>
        <v>78265.73</v>
      </c>
      <c r="K383" s="47">
        <f t="shared" si="24"/>
        <v>0</v>
      </c>
      <c r="L383" s="47">
        <f t="shared" si="24"/>
        <v>197638.33000000002</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v>534.1</v>
      </c>
      <c r="I392" s="18">
        <v>10449</v>
      </c>
      <c r="J392" s="24" t="s">
        <v>288</v>
      </c>
      <c r="K392" s="24" t="s">
        <v>288</v>
      </c>
      <c r="L392" s="56">
        <f t="shared" si="25"/>
        <v>10983.1</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534.1</v>
      </c>
      <c r="I394" s="65">
        <f>SUM(I388:I393)</f>
        <v>10449</v>
      </c>
      <c r="J394" s="45" t="s">
        <v>288</v>
      </c>
      <c r="K394" s="45" t="s">
        <v>288</v>
      </c>
      <c r="L394" s="47">
        <f>SUM(L388:L393)</f>
        <v>10983.1</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v>690.82</v>
      </c>
      <c r="I401" s="18">
        <v>15125</v>
      </c>
      <c r="J401" s="24" t="s">
        <v>288</v>
      </c>
      <c r="K401" s="24" t="s">
        <v>288</v>
      </c>
      <c r="L401" s="56">
        <f t="shared" si="26"/>
        <v>15815.82</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690.82</v>
      </c>
      <c r="I402" s="47">
        <f>SUM(I396:I401)</f>
        <v>15125</v>
      </c>
      <c r="J402" s="45" t="s">
        <v>288</v>
      </c>
      <c r="K402" s="45" t="s">
        <v>288</v>
      </c>
      <c r="L402" s="47">
        <f>SUM(L396:L401)</f>
        <v>15815.82</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0</v>
      </c>
      <c r="H409" s="47">
        <f>H394+H402+H408</f>
        <v>1224.92</v>
      </c>
      <c r="I409" s="47">
        <f>I394+I402+I408</f>
        <v>25574</v>
      </c>
      <c r="J409" s="24" t="s">
        <v>288</v>
      </c>
      <c r="K409" s="24" t="s">
        <v>288</v>
      </c>
      <c r="L409" s="47">
        <f>L394+L402+L408</f>
        <v>26798.92</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v>957.92</v>
      </c>
      <c r="I427" s="18"/>
      <c r="J427" s="18"/>
      <c r="K427" s="18"/>
      <c r="L427" s="56">
        <f t="shared" si="29"/>
        <v>957.92</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957.92</v>
      </c>
      <c r="I428" s="47">
        <f t="shared" si="30"/>
        <v>0</v>
      </c>
      <c r="J428" s="47">
        <f t="shared" si="30"/>
        <v>0</v>
      </c>
      <c r="K428" s="47">
        <f t="shared" si="30"/>
        <v>0</v>
      </c>
      <c r="L428" s="47">
        <f t="shared" si="30"/>
        <v>957.92</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957.92</v>
      </c>
      <c r="I435" s="47">
        <f t="shared" si="32"/>
        <v>0</v>
      </c>
      <c r="J435" s="47">
        <f t="shared" si="32"/>
        <v>0</v>
      </c>
      <c r="K435" s="47">
        <f t="shared" si="32"/>
        <v>0</v>
      </c>
      <c r="L435" s="47">
        <f t="shared" si="32"/>
        <v>957.92</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v>30169.45</v>
      </c>
      <c r="G441" s="18">
        <v>209038.49</v>
      </c>
      <c r="H441" s="18"/>
      <c r="I441" s="56">
        <f t="shared" si="33"/>
        <v>239207.94</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v>25574</v>
      </c>
      <c r="H442" s="18"/>
      <c r="I442" s="56">
        <f t="shared" si="33"/>
        <v>25574</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30169.45</v>
      </c>
      <c r="G447" s="13">
        <f>SUM(G440:G446)</f>
        <v>234612.49</v>
      </c>
      <c r="H447" s="13">
        <f>SUM(H440:H446)</f>
        <v>0</v>
      </c>
      <c r="I447" s="13">
        <f>SUM(I440:I446)</f>
        <v>264781.94</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30169.45</v>
      </c>
      <c r="G460" s="18">
        <v>234612.49</v>
      </c>
      <c r="H460" s="18"/>
      <c r="I460" s="56">
        <f t="shared" si="34"/>
        <v>264781.94</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30169.45</v>
      </c>
      <c r="G461" s="83">
        <f>SUM(G455:G460)</f>
        <v>234612.49</v>
      </c>
      <c r="H461" s="83">
        <f>SUM(H455:H460)</f>
        <v>0</v>
      </c>
      <c r="I461" s="83">
        <f>SUM(I455:I460)</f>
        <v>264781.94</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30169.45</v>
      </c>
      <c r="G462" s="42">
        <f>G453+G461</f>
        <v>234612.49</v>
      </c>
      <c r="H462" s="42">
        <f>H453+H461</f>
        <v>0</v>
      </c>
      <c r="I462" s="42">
        <f>I453+I461</f>
        <v>264781.94</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3035352.08</v>
      </c>
      <c r="G466" s="18">
        <v>73730.240000000005</v>
      </c>
      <c r="H466" s="18">
        <f>209418.74</f>
        <v>209418.74</v>
      </c>
      <c r="I466" s="18">
        <f>398026.25</f>
        <v>398026.25</v>
      </c>
      <c r="J466" s="18">
        <v>238940.94</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f>70622416.18-60</f>
        <v>70622356.180000007</v>
      </c>
      <c r="G469" s="18">
        <v>1381974.13</v>
      </c>
      <c r="H469" s="18">
        <v>1845778.02</v>
      </c>
      <c r="I469" s="18">
        <v>368.2</v>
      </c>
      <c r="J469" s="18">
        <f>25574+1224.92</f>
        <v>26798.92</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70622356.180000007</v>
      </c>
      <c r="G471" s="53">
        <f>SUM(G469:G470)</f>
        <v>1381974.13</v>
      </c>
      <c r="H471" s="53">
        <f>SUM(H469:H470)</f>
        <v>1845778.02</v>
      </c>
      <c r="I471" s="53">
        <f>SUM(I469:I470)</f>
        <v>368.2</v>
      </c>
      <c r="J471" s="53">
        <f>SUM(J469:J470)</f>
        <v>26798.92</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69984906.909999996</v>
      </c>
      <c r="G473" s="18">
        <v>1393401.49</v>
      </c>
      <c r="H473" s="18">
        <v>1864028.64</v>
      </c>
      <c r="I473" s="18">
        <f>197638.33+333.82-333.82</f>
        <v>197638.33</v>
      </c>
      <c r="J473" s="18">
        <v>957.92</v>
      </c>
      <c r="K473" s="24" t="s">
        <v>288</v>
      </c>
      <c r="L473" s="24" t="s">
        <v>288</v>
      </c>
      <c r="N473" s="265"/>
    </row>
    <row r="474" spans="1:14" s="52" customFormat="1" ht="12.2" customHeight="1" x14ac:dyDescent="0.2">
      <c r="A474" s="93" t="s">
        <v>613</v>
      </c>
      <c r="B474" s="75">
        <v>19</v>
      </c>
      <c r="C474" s="80">
        <v>6</v>
      </c>
      <c r="D474" s="2" t="s">
        <v>432</v>
      </c>
      <c r="E474" s="80"/>
      <c r="F474" s="18">
        <f>250+89.7+333.82-339.7</f>
        <v>333.82</v>
      </c>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69985240.729999989</v>
      </c>
      <c r="G475" s="53">
        <f>SUM(G473:G474)</f>
        <v>1393401.49</v>
      </c>
      <c r="H475" s="53">
        <f>SUM(H473:H474)</f>
        <v>1864028.64</v>
      </c>
      <c r="I475" s="53">
        <f>SUM(I473:I474)</f>
        <v>197638.33</v>
      </c>
      <c r="J475" s="53">
        <f>SUM(J473:J474)</f>
        <v>957.92</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3672467.5300000161</v>
      </c>
      <c r="G477" s="53">
        <f>(G466+G471)- G475</f>
        <v>62302.879999999888</v>
      </c>
      <c r="H477" s="53">
        <f>(H466+H471)- H475</f>
        <v>191168.12000000011</v>
      </c>
      <c r="I477" s="53">
        <f>(I466+I471)- I475</f>
        <v>200756.12000000002</v>
      </c>
      <c r="J477" s="53">
        <f>(J466+J471)- J475</f>
        <v>264781.94</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v>16</v>
      </c>
      <c r="G491" s="154">
        <v>16</v>
      </c>
      <c r="H491" s="154">
        <v>20</v>
      </c>
      <c r="I491" s="154">
        <v>20</v>
      </c>
      <c r="J491" s="154">
        <v>20</v>
      </c>
      <c r="K491" s="24" t="s">
        <v>288</v>
      </c>
      <c r="L491" s="24" t="s">
        <v>288</v>
      </c>
      <c r="N491" s="265"/>
    </row>
    <row r="492" spans="1:14" s="52" customFormat="1" ht="12.2" customHeight="1" x14ac:dyDescent="0.2">
      <c r="A492" s="22" t="s">
        <v>615</v>
      </c>
      <c r="B492" s="75">
        <v>20</v>
      </c>
      <c r="C492" s="115">
        <v>2</v>
      </c>
      <c r="D492" s="2" t="s">
        <v>432</v>
      </c>
      <c r="E492" s="115"/>
      <c r="F492" s="155" t="s">
        <v>1643</v>
      </c>
      <c r="G492" s="155" t="s">
        <v>1643</v>
      </c>
      <c r="H492" s="154" t="s">
        <v>1644</v>
      </c>
      <c r="I492" s="154" t="s">
        <v>1645</v>
      </c>
      <c r="J492" s="154" t="s">
        <v>1646</v>
      </c>
      <c r="K492" s="24" t="s">
        <v>288</v>
      </c>
      <c r="L492" s="24" t="s">
        <v>288</v>
      </c>
      <c r="N492" s="265"/>
    </row>
    <row r="493" spans="1:14" s="52" customFormat="1" ht="12.2" customHeight="1" x14ac:dyDescent="0.2">
      <c r="A493" s="22" t="s">
        <v>616</v>
      </c>
      <c r="B493" s="75">
        <v>20</v>
      </c>
      <c r="C493" s="115">
        <v>3</v>
      </c>
      <c r="D493" s="2" t="s">
        <v>432</v>
      </c>
      <c r="E493" s="115"/>
      <c r="F493" s="155" t="s">
        <v>1647</v>
      </c>
      <c r="G493" s="155" t="s">
        <v>1648</v>
      </c>
      <c r="H493" s="154"/>
      <c r="I493" s="154" t="s">
        <v>1649</v>
      </c>
      <c r="J493" s="154" t="s">
        <v>1650</v>
      </c>
      <c r="K493" s="24" t="s">
        <v>288</v>
      </c>
      <c r="L493" s="24" t="s">
        <v>288</v>
      </c>
      <c r="N493" s="265"/>
    </row>
    <row r="494" spans="1:14" s="52" customFormat="1" ht="12.2" customHeight="1" x14ac:dyDescent="0.2">
      <c r="A494" s="22" t="s">
        <v>617</v>
      </c>
      <c r="B494" s="75">
        <v>20</v>
      </c>
      <c r="C494" s="115">
        <v>4</v>
      </c>
      <c r="D494" s="2" t="s">
        <v>432</v>
      </c>
      <c r="E494" s="115"/>
      <c r="F494" s="18">
        <v>14506160</v>
      </c>
      <c r="G494" s="18">
        <v>7493840</v>
      </c>
      <c r="H494" s="18">
        <v>16205153</v>
      </c>
      <c r="I494" s="18">
        <v>21817560</v>
      </c>
      <c r="J494" s="18">
        <v>36863000</v>
      </c>
      <c r="K494" s="24" t="s">
        <v>288</v>
      </c>
      <c r="L494" s="24" t="s">
        <v>288</v>
      </c>
      <c r="N494" s="265"/>
    </row>
    <row r="495" spans="1:14" s="52" customFormat="1" ht="12.2" customHeight="1" x14ac:dyDescent="0.2">
      <c r="A495" s="22" t="s">
        <v>618</v>
      </c>
      <c r="B495" s="75">
        <v>20</v>
      </c>
      <c r="C495" s="115">
        <v>5</v>
      </c>
      <c r="D495" s="2" t="s">
        <v>432</v>
      </c>
      <c r="E495" s="115"/>
      <c r="F495" s="18">
        <v>5.39</v>
      </c>
      <c r="G495" s="18">
        <v>3.51</v>
      </c>
      <c r="H495" s="18">
        <v>3.58</v>
      </c>
      <c r="I495" s="18">
        <v>3.21</v>
      </c>
      <c r="J495" s="18" t="s">
        <v>1651</v>
      </c>
      <c r="K495" s="24" t="s">
        <v>288</v>
      </c>
      <c r="L495" s="24" t="s">
        <v>288</v>
      </c>
      <c r="N495" s="265"/>
    </row>
    <row r="496" spans="1:14" s="52" customFormat="1" ht="12.2" customHeight="1" x14ac:dyDescent="0.2">
      <c r="A496" s="22" t="s">
        <v>619</v>
      </c>
      <c r="B496" s="75">
        <v>20</v>
      </c>
      <c r="C496" s="115">
        <v>6</v>
      </c>
      <c r="D496" s="2" t="s">
        <v>432</v>
      </c>
      <c r="E496" s="115"/>
      <c r="F496" s="18">
        <v>7240000</v>
      </c>
      <c r="G496" s="18">
        <v>3480000</v>
      </c>
      <c r="H496" s="18">
        <v>10800000</v>
      </c>
      <c r="I496" s="18">
        <v>16000000</v>
      </c>
      <c r="J496" s="18">
        <v>32100000</v>
      </c>
      <c r="K496" s="53">
        <f>SUM(F496:J496)</f>
        <v>69620000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v>905000</v>
      </c>
      <c r="G498" s="18">
        <v>435000</v>
      </c>
      <c r="H498" s="18">
        <v>720000</v>
      </c>
      <c r="I498" s="18">
        <v>1000000</v>
      </c>
      <c r="J498" s="18">
        <v>1850000</v>
      </c>
      <c r="K498" s="53">
        <f t="shared" si="35"/>
        <v>4910000</v>
      </c>
      <c r="L498" s="24" t="s">
        <v>288</v>
      </c>
      <c r="N498" s="265"/>
    </row>
    <row r="499" spans="1:14" s="52" customFormat="1" ht="12.2" customHeight="1" x14ac:dyDescent="0.2">
      <c r="A499" s="200" t="s">
        <v>622</v>
      </c>
      <c r="B499" s="201">
        <v>20</v>
      </c>
      <c r="C499" s="202">
        <v>9</v>
      </c>
      <c r="D499" s="203" t="s">
        <v>432</v>
      </c>
      <c r="E499" s="202"/>
      <c r="F499" s="204">
        <f>F496-F498</f>
        <v>6335000</v>
      </c>
      <c r="G499" s="204">
        <f t="shared" ref="G499:J499" si="36">G496-G498</f>
        <v>3045000</v>
      </c>
      <c r="H499" s="204">
        <f t="shared" si="36"/>
        <v>10080000</v>
      </c>
      <c r="I499" s="204">
        <f t="shared" si="36"/>
        <v>15000000</v>
      </c>
      <c r="J499" s="204">
        <f t="shared" si="36"/>
        <v>30250000</v>
      </c>
      <c r="K499" s="205">
        <f t="shared" si="35"/>
        <v>64710000</v>
      </c>
      <c r="L499" s="206" t="s">
        <v>288</v>
      </c>
      <c r="N499" s="265"/>
    </row>
    <row r="500" spans="1:14" s="52" customFormat="1" ht="12.2" customHeight="1" thickBot="1" x14ac:dyDescent="0.25">
      <c r="A500" s="22" t="s">
        <v>623</v>
      </c>
      <c r="B500" s="75">
        <v>20</v>
      </c>
      <c r="C500" s="115">
        <v>10</v>
      </c>
      <c r="D500" s="2" t="s">
        <v>432</v>
      </c>
      <c r="E500" s="115"/>
      <c r="F500" s="18">
        <v>1195097.75</v>
      </c>
      <c r="G500" s="18">
        <v>401630.75</v>
      </c>
      <c r="H500" s="18">
        <v>3273000</v>
      </c>
      <c r="I500" s="18">
        <v>4189375</v>
      </c>
      <c r="J500" s="18">
        <v>7933550</v>
      </c>
      <c r="K500" s="53">
        <f t="shared" si="35"/>
        <v>16992653.5</v>
      </c>
      <c r="L500" s="24" t="s">
        <v>288</v>
      </c>
      <c r="N500" s="265"/>
    </row>
    <row r="501" spans="1:14" s="52" customFormat="1" ht="12.2" customHeight="1" thickTop="1" x14ac:dyDescent="0.2">
      <c r="A501" s="139" t="s">
        <v>624</v>
      </c>
      <c r="B501" s="44">
        <v>20</v>
      </c>
      <c r="C501" s="195">
        <v>11</v>
      </c>
      <c r="D501" s="39" t="s">
        <v>432</v>
      </c>
      <c r="E501" s="195"/>
      <c r="F501" s="42">
        <f>SUM(F499:F500)</f>
        <v>7530097.75</v>
      </c>
      <c r="G501" s="42">
        <f>SUM(G499:G500)</f>
        <v>3446630.75</v>
      </c>
      <c r="H501" s="42">
        <f>SUM(H499:H500)</f>
        <v>13353000</v>
      </c>
      <c r="I501" s="42">
        <f>SUM(I499:I500)</f>
        <v>19189375</v>
      </c>
      <c r="J501" s="42">
        <f>SUM(J499:J500)</f>
        <v>38183550</v>
      </c>
      <c r="K501" s="42">
        <f t="shared" si="35"/>
        <v>81702653.5</v>
      </c>
      <c r="L501" s="45" t="s">
        <v>288</v>
      </c>
      <c r="N501" s="265"/>
    </row>
    <row r="502" spans="1:14" s="52" customFormat="1" ht="12.2" customHeight="1" x14ac:dyDescent="0.2">
      <c r="A502" s="200" t="s">
        <v>651</v>
      </c>
      <c r="B502" s="201">
        <v>20</v>
      </c>
      <c r="C502" s="202">
        <v>12</v>
      </c>
      <c r="D502" s="203" t="s">
        <v>432</v>
      </c>
      <c r="E502" s="202"/>
      <c r="F502" s="204">
        <v>905000</v>
      </c>
      <c r="G502" s="204">
        <v>435000</v>
      </c>
      <c r="H502" s="204">
        <v>720000</v>
      </c>
      <c r="I502" s="204">
        <v>1000000</v>
      </c>
      <c r="J502" s="204">
        <f>1070000+780000</f>
        <v>1850000</v>
      </c>
      <c r="K502" s="205">
        <f t="shared" si="35"/>
        <v>4910000</v>
      </c>
      <c r="L502" s="206" t="s">
        <v>288</v>
      </c>
      <c r="N502" s="265"/>
    </row>
    <row r="503" spans="1:14" s="52" customFormat="1" ht="12.2" customHeight="1" thickBot="1" x14ac:dyDescent="0.25">
      <c r="A503" s="22" t="s">
        <v>625</v>
      </c>
      <c r="B503" s="75">
        <v>20</v>
      </c>
      <c r="C503" s="115">
        <v>13</v>
      </c>
      <c r="D503" s="2" t="s">
        <v>432</v>
      </c>
      <c r="E503" s="115"/>
      <c r="F503" s="18">
        <f>170728.25+146338.5</f>
        <v>317066.75</v>
      </c>
      <c r="G503" s="18">
        <f>75581.25+64706.25</f>
        <v>140287.5</v>
      </c>
      <c r="H503" s="18">
        <f>253440+234180</f>
        <v>487620</v>
      </c>
      <c r="I503" s="18">
        <f>308125+283125</f>
        <v>591250</v>
      </c>
      <c r="J503" s="18">
        <f>223512.5+204012.5+311562.5+300862.5</f>
        <v>1039950</v>
      </c>
      <c r="K503" s="53">
        <f t="shared" si="35"/>
        <v>2576174.25</v>
      </c>
      <c r="L503" s="24" t="s">
        <v>288</v>
      </c>
      <c r="N503" s="265"/>
    </row>
    <row r="504" spans="1:14" s="52" customFormat="1" ht="12.2" customHeight="1" thickTop="1" x14ac:dyDescent="0.2">
      <c r="A504" s="139" t="s">
        <v>626</v>
      </c>
      <c r="B504" s="44">
        <v>20</v>
      </c>
      <c r="C504" s="195">
        <v>14</v>
      </c>
      <c r="D504" s="39" t="s">
        <v>432</v>
      </c>
      <c r="E504" s="195"/>
      <c r="F504" s="42">
        <f>SUM(F502:F503)</f>
        <v>1222066.75</v>
      </c>
      <c r="G504" s="42">
        <f>SUM(G502:G503)</f>
        <v>575287.5</v>
      </c>
      <c r="H504" s="42">
        <f>SUM(H502:H503)</f>
        <v>1207620</v>
      </c>
      <c r="I504" s="42">
        <f>SUM(I502:I503)</f>
        <v>1591250</v>
      </c>
      <c r="J504" s="42">
        <f>SUM(J502:J503)</f>
        <v>2889950</v>
      </c>
      <c r="K504" s="42">
        <f t="shared" si="35"/>
        <v>7486174.25</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3235533.18</v>
      </c>
      <c r="G522" s="18">
        <v>1132436.6100000001</v>
      </c>
      <c r="H522" s="18">
        <v>438955.7</v>
      </c>
      <c r="I522" s="18">
        <v>21989.46</v>
      </c>
      <c r="J522" s="18">
        <v>9428.7999999999993</v>
      </c>
      <c r="K522" s="18"/>
      <c r="L522" s="88">
        <f>SUM(F522:K522)</f>
        <v>4838343.75</v>
      </c>
      <c r="N522" s="265"/>
    </row>
    <row r="523" spans="1:14" s="52" customFormat="1" ht="12.2" customHeight="1" x14ac:dyDescent="0.2">
      <c r="A523" s="22" t="s">
        <v>634</v>
      </c>
      <c r="B523" s="105">
        <v>21</v>
      </c>
      <c r="C523" s="115">
        <v>2</v>
      </c>
      <c r="D523" s="2" t="s">
        <v>432</v>
      </c>
      <c r="E523" s="115"/>
      <c r="F523" s="18">
        <v>1107352.1599999999</v>
      </c>
      <c r="G523" s="18">
        <v>387573.26</v>
      </c>
      <c r="H523" s="18">
        <v>129496.92</v>
      </c>
      <c r="I523" s="18">
        <v>7214.75</v>
      </c>
      <c r="J523" s="18"/>
      <c r="K523" s="18"/>
      <c r="L523" s="88">
        <f>SUM(F523:K523)</f>
        <v>1631637.0899999999</v>
      </c>
      <c r="N523" s="265"/>
    </row>
    <row r="524" spans="1:14" s="52" customFormat="1" ht="12.2" customHeight="1" thickBot="1" x14ac:dyDescent="0.25">
      <c r="A524" s="22" t="s">
        <v>635</v>
      </c>
      <c r="B524" s="105">
        <v>21</v>
      </c>
      <c r="C524" s="115">
        <v>3</v>
      </c>
      <c r="D524" s="2" t="s">
        <v>432</v>
      </c>
      <c r="E524" s="115"/>
      <c r="F524" s="18">
        <v>1211807.54</v>
      </c>
      <c r="G524" s="18">
        <v>424132.64</v>
      </c>
      <c r="H524" s="18">
        <v>853889.16</v>
      </c>
      <c r="I524" s="18">
        <v>11342.93</v>
      </c>
      <c r="J524" s="18"/>
      <c r="K524" s="18"/>
      <c r="L524" s="88">
        <f>SUM(F524:K524)</f>
        <v>2501172.2700000005</v>
      </c>
      <c r="N524" s="265"/>
    </row>
    <row r="525" spans="1:14" s="52" customFormat="1" ht="12.2" customHeight="1" thickTop="1" x14ac:dyDescent="0.2">
      <c r="A525" s="139" t="s">
        <v>63</v>
      </c>
      <c r="B525" s="107">
        <v>21</v>
      </c>
      <c r="C525" s="195">
        <v>4</v>
      </c>
      <c r="D525" s="196" t="s">
        <v>432</v>
      </c>
      <c r="E525" s="195"/>
      <c r="F525" s="108">
        <f>SUM(F522:F524)</f>
        <v>5554692.8799999999</v>
      </c>
      <c r="G525" s="108">
        <f t="shared" ref="G525:L525" si="37">SUM(G522:G524)</f>
        <v>1944142.5100000002</v>
      </c>
      <c r="H525" s="108">
        <f t="shared" si="37"/>
        <v>1422341.78</v>
      </c>
      <c r="I525" s="108">
        <f t="shared" si="37"/>
        <v>40547.14</v>
      </c>
      <c r="J525" s="108">
        <f t="shared" si="37"/>
        <v>9428.7999999999993</v>
      </c>
      <c r="K525" s="108">
        <f t="shared" si="37"/>
        <v>0</v>
      </c>
      <c r="L525" s="89">
        <f t="shared" si="37"/>
        <v>8971153.1099999994</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v>1069297.03</v>
      </c>
      <c r="G527" s="18">
        <v>374253.96</v>
      </c>
      <c r="H527" s="18">
        <v>106981.8</v>
      </c>
      <c r="I527" s="18">
        <v>8309.35</v>
      </c>
      <c r="J527" s="18"/>
      <c r="K527" s="18">
        <v>439.04</v>
      </c>
      <c r="L527" s="88">
        <f>SUM(F527:K527)</f>
        <v>1559281.1800000002</v>
      </c>
      <c r="M527" s="8"/>
      <c r="N527" s="266"/>
    </row>
    <row r="528" spans="1:14" s="3" customFormat="1" ht="12.2" customHeight="1" x14ac:dyDescent="0.15">
      <c r="A528" s="22" t="s">
        <v>634</v>
      </c>
      <c r="B528" s="105">
        <v>21</v>
      </c>
      <c r="C528" s="115">
        <v>6</v>
      </c>
      <c r="D528" s="2" t="s">
        <v>432</v>
      </c>
      <c r="E528" s="115"/>
      <c r="F528" s="18">
        <v>612083.01</v>
      </c>
      <c r="G528" s="18">
        <v>214229.05</v>
      </c>
      <c r="H528" s="18">
        <v>53461.09</v>
      </c>
      <c r="I528" s="18">
        <v>4150.1000000000004</v>
      </c>
      <c r="J528" s="18"/>
      <c r="K528" s="18">
        <v>219.52</v>
      </c>
      <c r="L528" s="88">
        <f>SUM(F528:K528)</f>
        <v>884142.77</v>
      </c>
      <c r="M528" s="8"/>
      <c r="N528" s="266"/>
    </row>
    <row r="529" spans="1:14" s="3" customFormat="1" ht="12.2" customHeight="1" thickBot="1" x14ac:dyDescent="0.2">
      <c r="A529" s="22" t="s">
        <v>635</v>
      </c>
      <c r="B529" s="118">
        <v>21</v>
      </c>
      <c r="C529" s="118">
        <v>7</v>
      </c>
      <c r="D529" s="2" t="s">
        <v>432</v>
      </c>
      <c r="E529" s="118"/>
      <c r="F529" s="18">
        <v>342319.01</v>
      </c>
      <c r="G529" s="18">
        <v>119811.65</v>
      </c>
      <c r="H529" s="18">
        <v>49213.03</v>
      </c>
      <c r="I529" s="18">
        <v>1610.39</v>
      </c>
      <c r="J529" s="18"/>
      <c r="K529" s="18">
        <v>321.44</v>
      </c>
      <c r="L529" s="88">
        <f>SUM(F529:K529)</f>
        <v>513275.52000000008</v>
      </c>
      <c r="M529" s="8"/>
      <c r="N529" s="266"/>
    </row>
    <row r="530" spans="1:14" s="3" customFormat="1" ht="12.2" customHeight="1" thickTop="1" x14ac:dyDescent="0.15">
      <c r="A530" s="139" t="s">
        <v>65</v>
      </c>
      <c r="B530" s="107">
        <v>21</v>
      </c>
      <c r="C530" s="107">
        <v>8</v>
      </c>
      <c r="D530" s="158" t="s">
        <v>432</v>
      </c>
      <c r="E530" s="107"/>
      <c r="F530" s="89">
        <f>SUM(F527:F529)</f>
        <v>2023699.05</v>
      </c>
      <c r="G530" s="89">
        <f t="shared" ref="G530:L530" si="38">SUM(G527:G529)</f>
        <v>708294.66</v>
      </c>
      <c r="H530" s="89">
        <f t="shared" si="38"/>
        <v>209655.92</v>
      </c>
      <c r="I530" s="89">
        <f t="shared" si="38"/>
        <v>14069.84</v>
      </c>
      <c r="J530" s="89">
        <f t="shared" si="38"/>
        <v>0</v>
      </c>
      <c r="K530" s="89">
        <f t="shared" si="38"/>
        <v>980</v>
      </c>
      <c r="L530" s="89">
        <f t="shared" si="38"/>
        <v>2956699.47</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56058.82</v>
      </c>
      <c r="G532" s="18">
        <v>22423.53</v>
      </c>
      <c r="H532" s="18"/>
      <c r="I532" s="18"/>
      <c r="J532" s="18"/>
      <c r="K532" s="18"/>
      <c r="L532" s="88">
        <f>SUM(F532:K532)</f>
        <v>78482.350000000006</v>
      </c>
      <c r="M532" s="8"/>
      <c r="N532" s="266"/>
    </row>
    <row r="533" spans="1:14" s="3" customFormat="1" ht="12.2" customHeight="1" x14ac:dyDescent="0.15">
      <c r="A533" s="22" t="s">
        <v>634</v>
      </c>
      <c r="B533" s="105">
        <v>21</v>
      </c>
      <c r="C533" s="105">
        <v>10</v>
      </c>
      <c r="D533" s="2" t="s">
        <v>432</v>
      </c>
      <c r="E533" s="105"/>
      <c r="F533" s="18">
        <v>28029.41</v>
      </c>
      <c r="G533" s="18">
        <v>11211.76</v>
      </c>
      <c r="H533" s="18"/>
      <c r="I533" s="18"/>
      <c r="J533" s="18"/>
      <c r="K533" s="18"/>
      <c r="L533" s="88">
        <f>SUM(F533:K533)</f>
        <v>39241.17</v>
      </c>
      <c r="M533" s="8"/>
      <c r="N533" s="266"/>
    </row>
    <row r="534" spans="1:14" s="3" customFormat="1" ht="12.2" customHeight="1" thickBot="1" x14ac:dyDescent="0.2">
      <c r="A534" s="22" t="s">
        <v>635</v>
      </c>
      <c r="B534" s="105">
        <v>21</v>
      </c>
      <c r="C534" s="105">
        <v>11</v>
      </c>
      <c r="D534" s="2" t="s">
        <v>432</v>
      </c>
      <c r="E534" s="105"/>
      <c r="F534" s="18">
        <v>41043.07</v>
      </c>
      <c r="G534" s="18">
        <v>16417.23</v>
      </c>
      <c r="H534" s="18"/>
      <c r="I534" s="18"/>
      <c r="J534" s="18"/>
      <c r="K534" s="18"/>
      <c r="L534" s="88">
        <f>SUM(F534:K534)</f>
        <v>57460.3</v>
      </c>
      <c r="M534" s="8"/>
      <c r="N534" s="266"/>
    </row>
    <row r="535" spans="1:14" s="3" customFormat="1" ht="12.2" customHeight="1" thickTop="1" x14ac:dyDescent="0.15">
      <c r="A535" s="139" t="s">
        <v>67</v>
      </c>
      <c r="B535" s="107">
        <v>21</v>
      </c>
      <c r="C535" s="107">
        <v>12</v>
      </c>
      <c r="D535" s="158" t="s">
        <v>432</v>
      </c>
      <c r="E535" s="107"/>
      <c r="F535" s="89">
        <f>SUM(F532:F534)</f>
        <v>125131.29999999999</v>
      </c>
      <c r="G535" s="89">
        <f t="shared" ref="G535:L535" si="39">SUM(G532:G534)</f>
        <v>50052.520000000004</v>
      </c>
      <c r="H535" s="89">
        <f t="shared" si="39"/>
        <v>0</v>
      </c>
      <c r="I535" s="89">
        <f t="shared" si="39"/>
        <v>0</v>
      </c>
      <c r="J535" s="89">
        <f t="shared" si="39"/>
        <v>0</v>
      </c>
      <c r="K535" s="89">
        <f t="shared" si="39"/>
        <v>0</v>
      </c>
      <c r="L535" s="89">
        <f t="shared" si="39"/>
        <v>175183.82</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40">SUM(G537:G539)</f>
        <v>0</v>
      </c>
      <c r="H540" s="89">
        <f t="shared" si="40"/>
        <v>0</v>
      </c>
      <c r="I540" s="89">
        <f t="shared" si="40"/>
        <v>0</v>
      </c>
      <c r="J540" s="89">
        <f t="shared" si="40"/>
        <v>0</v>
      </c>
      <c r="K540" s="89">
        <f t="shared" si="40"/>
        <v>0</v>
      </c>
      <c r="L540" s="89">
        <f t="shared" si="40"/>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v>276304.03999999998</v>
      </c>
      <c r="I542" s="18"/>
      <c r="J542" s="18"/>
      <c r="K542" s="18"/>
      <c r="L542" s="88">
        <f>SUM(F542:K542)</f>
        <v>276304.03999999998</v>
      </c>
      <c r="M542" s="8"/>
      <c r="N542" s="266"/>
    </row>
    <row r="543" spans="1:14" s="3" customFormat="1" ht="12.2" customHeight="1" x14ac:dyDescent="0.15">
      <c r="A543" s="22" t="s">
        <v>634</v>
      </c>
      <c r="B543" s="105">
        <v>21</v>
      </c>
      <c r="C543" s="105">
        <v>18</v>
      </c>
      <c r="D543" s="2" t="s">
        <v>432</v>
      </c>
      <c r="E543" s="105"/>
      <c r="F543" s="18"/>
      <c r="G543" s="18"/>
      <c r="H543" s="18">
        <v>138152.01999999999</v>
      </c>
      <c r="I543" s="18"/>
      <c r="J543" s="18"/>
      <c r="K543" s="18"/>
      <c r="L543" s="88">
        <f>SUM(F543:K543)</f>
        <v>138152.01999999999</v>
      </c>
      <c r="M543" s="8"/>
      <c r="N543" s="266"/>
    </row>
    <row r="544" spans="1:14" s="3" customFormat="1" ht="12.2" customHeight="1" thickBot="1" x14ac:dyDescent="0.2">
      <c r="A544" s="22" t="s">
        <v>635</v>
      </c>
      <c r="B544" s="105">
        <v>21</v>
      </c>
      <c r="C544" s="105">
        <v>19</v>
      </c>
      <c r="D544" s="2" t="s">
        <v>432</v>
      </c>
      <c r="E544" s="105"/>
      <c r="F544" s="18"/>
      <c r="G544" s="18"/>
      <c r="H544" s="18">
        <v>202294.03</v>
      </c>
      <c r="I544" s="18"/>
      <c r="J544" s="18"/>
      <c r="K544" s="18"/>
      <c r="L544" s="88">
        <f>SUM(F544:K544)</f>
        <v>202294.03</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1">SUM(G542:G544)</f>
        <v>0</v>
      </c>
      <c r="H545" s="193">
        <f t="shared" si="41"/>
        <v>616750.09</v>
      </c>
      <c r="I545" s="193">
        <f t="shared" si="41"/>
        <v>0</v>
      </c>
      <c r="J545" s="193">
        <f t="shared" si="41"/>
        <v>0</v>
      </c>
      <c r="K545" s="193">
        <f t="shared" si="41"/>
        <v>0</v>
      </c>
      <c r="L545" s="193">
        <f t="shared" si="41"/>
        <v>616750.09</v>
      </c>
      <c r="M545" s="8"/>
      <c r="N545" s="266"/>
    </row>
    <row r="546" spans="1:14" s="3" customFormat="1" ht="12.2" customHeight="1" thickTop="1" x14ac:dyDescent="0.15">
      <c r="A546" s="98" t="s">
        <v>72</v>
      </c>
      <c r="B546" s="107">
        <v>21</v>
      </c>
      <c r="C546" s="107">
        <v>21</v>
      </c>
      <c r="D546" s="158" t="s">
        <v>432</v>
      </c>
      <c r="E546" s="107"/>
      <c r="F546" s="89">
        <f>F525+F530+F535+F540+F545</f>
        <v>7703523.2299999995</v>
      </c>
      <c r="G546" s="89">
        <f t="shared" ref="G546:L546" si="42">G525+G530+G535+G540+G545</f>
        <v>2702489.6900000004</v>
      </c>
      <c r="H546" s="89">
        <f t="shared" si="42"/>
        <v>2248747.79</v>
      </c>
      <c r="I546" s="89">
        <f t="shared" si="42"/>
        <v>54616.979999999996</v>
      </c>
      <c r="J546" s="89">
        <f t="shared" si="42"/>
        <v>9428.7999999999993</v>
      </c>
      <c r="K546" s="89">
        <f t="shared" si="42"/>
        <v>980</v>
      </c>
      <c r="L546" s="89">
        <f t="shared" si="42"/>
        <v>12719786.49</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4838343.75</v>
      </c>
      <c r="G550" s="87">
        <f>L527</f>
        <v>1559281.1800000002</v>
      </c>
      <c r="H550" s="87">
        <f>L532</f>
        <v>78482.350000000006</v>
      </c>
      <c r="I550" s="87">
        <f>L537</f>
        <v>0</v>
      </c>
      <c r="J550" s="87">
        <f>L542</f>
        <v>276304.03999999998</v>
      </c>
      <c r="K550" s="87">
        <f>SUM(F550:J550)</f>
        <v>6752411.3199999994</v>
      </c>
      <c r="L550" s="24" t="s">
        <v>288</v>
      </c>
      <c r="M550" s="8"/>
      <c r="N550" s="266"/>
    </row>
    <row r="551" spans="1:14" s="3" customFormat="1" ht="12.2" customHeight="1" x14ac:dyDescent="0.15">
      <c r="A551" s="22" t="s">
        <v>634</v>
      </c>
      <c r="B551" s="75">
        <v>21</v>
      </c>
      <c r="C551" s="75">
        <v>23</v>
      </c>
      <c r="D551" s="2" t="s">
        <v>432</v>
      </c>
      <c r="E551" s="75"/>
      <c r="F551" s="87">
        <f>L523</f>
        <v>1631637.0899999999</v>
      </c>
      <c r="G551" s="87">
        <f>L528</f>
        <v>884142.77</v>
      </c>
      <c r="H551" s="87">
        <f>L533</f>
        <v>39241.17</v>
      </c>
      <c r="I551" s="87">
        <f>L538</f>
        <v>0</v>
      </c>
      <c r="J551" s="87">
        <f>L543</f>
        <v>138152.01999999999</v>
      </c>
      <c r="K551" s="87">
        <f>SUM(F551:J551)</f>
        <v>2693173.05</v>
      </c>
      <c r="L551" s="24" t="s">
        <v>288</v>
      </c>
      <c r="M551" s="8"/>
      <c r="N551" s="266"/>
    </row>
    <row r="552" spans="1:14" s="3" customFormat="1" ht="12.2" customHeight="1" thickBot="1" x14ac:dyDescent="0.2">
      <c r="A552" s="22" t="s">
        <v>635</v>
      </c>
      <c r="B552" s="75">
        <v>21</v>
      </c>
      <c r="C552" s="75">
        <v>24</v>
      </c>
      <c r="D552" s="2" t="s">
        <v>432</v>
      </c>
      <c r="E552" s="75"/>
      <c r="F552" s="87">
        <f>L524</f>
        <v>2501172.2700000005</v>
      </c>
      <c r="G552" s="87">
        <f>L529</f>
        <v>513275.52000000008</v>
      </c>
      <c r="H552" s="87">
        <f>L534</f>
        <v>57460.3</v>
      </c>
      <c r="I552" s="87">
        <f>L539</f>
        <v>0</v>
      </c>
      <c r="J552" s="87">
        <f>L544</f>
        <v>202294.03</v>
      </c>
      <c r="K552" s="87">
        <f>SUM(F552:J552)</f>
        <v>3274202.12</v>
      </c>
      <c r="L552" s="24" t="s">
        <v>288</v>
      </c>
      <c r="M552" s="8"/>
      <c r="N552" s="266"/>
    </row>
    <row r="553" spans="1:14" s="3" customFormat="1" ht="12.2" customHeight="1" thickTop="1" x14ac:dyDescent="0.15">
      <c r="A553" s="172" t="s">
        <v>340</v>
      </c>
      <c r="B553" s="44">
        <v>21</v>
      </c>
      <c r="C553" s="44">
        <v>25</v>
      </c>
      <c r="D553" s="39" t="s">
        <v>432</v>
      </c>
      <c r="E553" s="44"/>
      <c r="F553" s="89">
        <f t="shared" ref="F553:K553" si="43">SUM(F550:F552)</f>
        <v>8971153.1099999994</v>
      </c>
      <c r="G553" s="89">
        <f t="shared" si="43"/>
        <v>2956699.47</v>
      </c>
      <c r="H553" s="89">
        <f t="shared" si="43"/>
        <v>175183.82</v>
      </c>
      <c r="I553" s="89">
        <f t="shared" si="43"/>
        <v>0</v>
      </c>
      <c r="J553" s="89">
        <f t="shared" si="43"/>
        <v>616750.09</v>
      </c>
      <c r="K553" s="89">
        <f t="shared" si="43"/>
        <v>12719786.489999998</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4">SUM(F558:F560)</f>
        <v>0</v>
      </c>
      <c r="G561" s="108">
        <f t="shared" si="44"/>
        <v>0</v>
      </c>
      <c r="H561" s="108">
        <f t="shared" si="44"/>
        <v>0</v>
      </c>
      <c r="I561" s="108">
        <f t="shared" si="44"/>
        <v>0</v>
      </c>
      <c r="J561" s="108">
        <f t="shared" si="44"/>
        <v>0</v>
      </c>
      <c r="K561" s="108">
        <f t="shared" si="44"/>
        <v>0</v>
      </c>
      <c r="L561" s="89">
        <f t="shared" si="44"/>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v>125159.72</v>
      </c>
      <c r="G563" s="18">
        <v>49361.75</v>
      </c>
      <c r="H563" s="18">
        <v>207.02</v>
      </c>
      <c r="I563" s="18">
        <v>1327.25</v>
      </c>
      <c r="J563" s="18"/>
      <c r="K563" s="18"/>
      <c r="L563" s="88">
        <f>SUM(F563:K563)</f>
        <v>176055.74</v>
      </c>
      <c r="M563" s="8"/>
      <c r="N563" s="266"/>
    </row>
    <row r="564" spans="1:14" s="3" customFormat="1" ht="12.2" customHeight="1" x14ac:dyDescent="0.15">
      <c r="A564" s="22" t="s">
        <v>634</v>
      </c>
      <c r="B564" s="105">
        <v>22</v>
      </c>
      <c r="C564" s="115">
        <v>6</v>
      </c>
      <c r="D564" s="2" t="s">
        <v>432</v>
      </c>
      <c r="E564" s="115"/>
      <c r="F564" s="18">
        <v>61132.01</v>
      </c>
      <c r="G564" s="18">
        <v>24577</v>
      </c>
      <c r="H564" s="18">
        <v>103.51</v>
      </c>
      <c r="I564" s="18">
        <v>663.62</v>
      </c>
      <c r="J564" s="18"/>
      <c r="K564" s="18"/>
      <c r="L564" s="88">
        <f>SUM(F564:K564)</f>
        <v>86476.14</v>
      </c>
      <c r="M564" s="8"/>
      <c r="N564" s="266"/>
    </row>
    <row r="565" spans="1:14" s="3" customFormat="1" ht="12.2" customHeight="1" thickBot="1" x14ac:dyDescent="0.2">
      <c r="A565" s="22" t="s">
        <v>635</v>
      </c>
      <c r="B565" s="105">
        <v>22</v>
      </c>
      <c r="C565" s="118">
        <v>7</v>
      </c>
      <c r="D565" s="2" t="s">
        <v>432</v>
      </c>
      <c r="E565" s="118"/>
      <c r="F565" s="18">
        <v>89514.72</v>
      </c>
      <c r="G565" s="18">
        <v>35987.75</v>
      </c>
      <c r="H565" s="18">
        <v>151.57</v>
      </c>
      <c r="I565" s="18">
        <v>971.74</v>
      </c>
      <c r="J565" s="18"/>
      <c r="K565" s="18"/>
      <c r="L565" s="88">
        <f>SUM(F565:K565)</f>
        <v>126625.78000000001</v>
      </c>
      <c r="M565" s="8"/>
      <c r="N565" s="266"/>
    </row>
    <row r="566" spans="1:14" s="3" customFormat="1" ht="12.2" customHeight="1" thickTop="1" x14ac:dyDescent="0.15">
      <c r="A566" s="139" t="s">
        <v>65</v>
      </c>
      <c r="B566" s="107">
        <v>22</v>
      </c>
      <c r="C566" s="107">
        <v>8</v>
      </c>
      <c r="D566" s="196" t="s">
        <v>432</v>
      </c>
      <c r="E566" s="107"/>
      <c r="F566" s="89">
        <f t="shared" ref="F566:L566" si="45">SUM(F563:F565)</f>
        <v>275806.45</v>
      </c>
      <c r="G566" s="89">
        <f t="shared" si="45"/>
        <v>109926.5</v>
      </c>
      <c r="H566" s="89">
        <f t="shared" si="45"/>
        <v>462.1</v>
      </c>
      <c r="I566" s="89">
        <f t="shared" si="45"/>
        <v>2962.6099999999997</v>
      </c>
      <c r="J566" s="89">
        <f t="shared" si="45"/>
        <v>0</v>
      </c>
      <c r="K566" s="89">
        <f t="shared" si="45"/>
        <v>0</v>
      </c>
      <c r="L566" s="89">
        <f t="shared" si="45"/>
        <v>389157.66000000003</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6">SUM(G568:G570)</f>
        <v>0</v>
      </c>
      <c r="H571" s="193">
        <f t="shared" si="46"/>
        <v>0</v>
      </c>
      <c r="I571" s="193">
        <f t="shared" si="46"/>
        <v>0</v>
      </c>
      <c r="J571" s="193">
        <f t="shared" si="46"/>
        <v>0</v>
      </c>
      <c r="K571" s="193">
        <f t="shared" si="46"/>
        <v>0</v>
      </c>
      <c r="L571" s="193">
        <f t="shared" si="46"/>
        <v>0</v>
      </c>
      <c r="M571" s="8"/>
      <c r="N571" s="266"/>
    </row>
    <row r="572" spans="1:14" s="3" customFormat="1" ht="12.2" customHeight="1" thickTop="1" x14ac:dyDescent="0.15">
      <c r="A572" s="98" t="s">
        <v>88</v>
      </c>
      <c r="B572" s="107">
        <v>22</v>
      </c>
      <c r="C572" s="107">
        <v>13</v>
      </c>
      <c r="D572" s="158" t="s">
        <v>432</v>
      </c>
      <c r="E572" s="107"/>
      <c r="F572" s="89">
        <f>F561+F566+F571</f>
        <v>275806.45</v>
      </c>
      <c r="G572" s="89">
        <f t="shared" ref="G572:L572" si="47">G561+G566+G571</f>
        <v>109926.5</v>
      </c>
      <c r="H572" s="89">
        <f t="shared" si="47"/>
        <v>462.1</v>
      </c>
      <c r="I572" s="89">
        <f t="shared" si="47"/>
        <v>2962.6099999999997</v>
      </c>
      <c r="J572" s="89">
        <f t="shared" si="47"/>
        <v>0</v>
      </c>
      <c r="K572" s="89">
        <f t="shared" si="47"/>
        <v>0</v>
      </c>
      <c r="L572" s="89">
        <f t="shared" si="47"/>
        <v>389157.66000000003</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8">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8"/>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8"/>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v>36650.720000000001</v>
      </c>
      <c r="I580" s="87">
        <f>SUM(F580:H580)</f>
        <v>36650.720000000001</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8"/>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8"/>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v>215825.58</v>
      </c>
      <c r="G583" s="18">
        <v>66004.52</v>
      </c>
      <c r="H583" s="18">
        <v>724267.42</v>
      </c>
      <c r="I583" s="87">
        <f t="shared" si="48"/>
        <v>1006097.52</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8"/>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8"/>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8"/>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v>12778</v>
      </c>
      <c r="I587" s="87">
        <f t="shared" si="48"/>
        <v>12778</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8"/>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871449.04</v>
      </c>
      <c r="I592" s="18">
        <v>435724.54</v>
      </c>
      <c r="J592" s="18">
        <v>638025.22</v>
      </c>
      <c r="K592" s="104">
        <f t="shared" ref="K592:K598" si="49">SUM(H592:J592)</f>
        <v>1945198.8</v>
      </c>
      <c r="L592" s="24" t="s">
        <v>288</v>
      </c>
      <c r="M592" s="8"/>
      <c r="N592" s="266"/>
    </row>
    <row r="593" spans="1:14" s="3" customFormat="1" ht="12.2" customHeight="1" x14ac:dyDescent="0.15">
      <c r="A593" s="3" t="s">
        <v>638</v>
      </c>
      <c r="B593" s="75">
        <v>23</v>
      </c>
      <c r="C593" s="75">
        <v>2</v>
      </c>
      <c r="D593" s="2" t="s">
        <v>432</v>
      </c>
      <c r="E593" s="75"/>
      <c r="F593" s="102">
        <v>2722</v>
      </c>
      <c r="G593" s="103" t="s">
        <v>97</v>
      </c>
      <c r="H593" s="18">
        <v>276304.03999999998</v>
      </c>
      <c r="I593" s="18">
        <v>138152.01999999999</v>
      </c>
      <c r="J593" s="18">
        <v>202294.03</v>
      </c>
      <c r="K593" s="104">
        <f t="shared" si="49"/>
        <v>616750.09</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v>7494.14</v>
      </c>
      <c r="K594" s="104">
        <f t="shared" si="49"/>
        <v>7494.14</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v>7696.06</v>
      </c>
      <c r="J595" s="18">
        <v>39922.33</v>
      </c>
      <c r="K595" s="104">
        <f t="shared" si="49"/>
        <v>47618.39</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c r="I596" s="18">
        <v>280</v>
      </c>
      <c r="J596" s="18">
        <v>23850.48</v>
      </c>
      <c r="K596" s="104">
        <f t="shared" si="49"/>
        <v>24130.48</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9"/>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9"/>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1147753.08</v>
      </c>
      <c r="I599" s="108">
        <f>SUM(I592:I598)</f>
        <v>581852.62</v>
      </c>
      <c r="J599" s="108">
        <f>SUM(J592:J598)</f>
        <v>911586.2</v>
      </c>
      <c r="K599" s="108">
        <f>SUM(K592:K598)</f>
        <v>2641191.9000000004</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267953.90999999997</v>
      </c>
      <c r="I605" s="18">
        <v>97056.55</v>
      </c>
      <c r="J605" s="18">
        <f>177366.27+2152.5</f>
        <v>179518.77</v>
      </c>
      <c r="K605" s="104">
        <f>SUM(H605:J605)</f>
        <v>544529.23</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267953.90999999997</v>
      </c>
      <c r="I606" s="108">
        <f>SUM(I603:I605)</f>
        <v>97056.55</v>
      </c>
      <c r="J606" s="108">
        <f>SUM(J603:J605)</f>
        <v>179518.77</v>
      </c>
      <c r="K606" s="108">
        <f>SUM(K603:K605)</f>
        <v>544529.23</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v>13100.403840000001</v>
      </c>
      <c r="G612" s="18">
        <v>367.49</v>
      </c>
      <c r="H612" s="18">
        <v>3632.8</v>
      </c>
      <c r="I612" s="18">
        <v>14682.237359999999</v>
      </c>
      <c r="J612" s="18"/>
      <c r="K612" s="18"/>
      <c r="L612" s="88">
        <f>SUM(F612:K612)</f>
        <v>31782.931199999999</v>
      </c>
      <c r="M612" s="8"/>
      <c r="N612" s="266"/>
    </row>
    <row r="613" spans="1:14" s="3" customFormat="1" ht="12.2" customHeight="1" x14ac:dyDescent="0.15">
      <c r="A613" s="22" t="s">
        <v>634</v>
      </c>
      <c r="B613" s="75">
        <v>23</v>
      </c>
      <c r="C613" s="75">
        <v>14</v>
      </c>
      <c r="D613" s="2" t="s">
        <v>432</v>
      </c>
      <c r="E613" s="75"/>
      <c r="F613" s="18">
        <v>8309.5219199999992</v>
      </c>
      <c r="G613" s="18">
        <v>216.89</v>
      </c>
      <c r="H613" s="18">
        <v>0</v>
      </c>
      <c r="I613" s="18">
        <v>1172.8636799999999</v>
      </c>
      <c r="J613" s="18"/>
      <c r="K613" s="18"/>
      <c r="L613" s="88">
        <f>SUM(F613:K613)</f>
        <v>9699.275599999999</v>
      </c>
      <c r="M613" s="8"/>
      <c r="N613" s="266"/>
    </row>
    <row r="614" spans="1:14" s="3" customFormat="1" ht="12.2" customHeight="1" thickBot="1" x14ac:dyDescent="0.2">
      <c r="A614" s="22" t="s">
        <v>645</v>
      </c>
      <c r="B614" s="75">
        <v>23</v>
      </c>
      <c r="C614" s="75">
        <v>15</v>
      </c>
      <c r="D614" s="2" t="s">
        <v>432</v>
      </c>
      <c r="E614" s="75"/>
      <c r="F614" s="18">
        <v>8016.2642400000013</v>
      </c>
      <c r="G614" s="18">
        <v>0</v>
      </c>
      <c r="H614" s="18">
        <v>0</v>
      </c>
      <c r="I614" s="18">
        <v>33.478960000000001</v>
      </c>
      <c r="J614" s="18"/>
      <c r="K614" s="18"/>
      <c r="L614" s="88">
        <f>SUM(F614:K614)</f>
        <v>8049.7432000000017</v>
      </c>
      <c r="M614" s="8"/>
      <c r="N614" s="266"/>
    </row>
    <row r="615" spans="1:14" s="3" customFormat="1" ht="12.2" customHeight="1" thickTop="1" x14ac:dyDescent="0.15">
      <c r="A615" s="98" t="s">
        <v>340</v>
      </c>
      <c r="B615" s="107">
        <v>23</v>
      </c>
      <c r="C615" s="107">
        <v>16</v>
      </c>
      <c r="D615" s="39" t="s">
        <v>432</v>
      </c>
      <c r="E615" s="107"/>
      <c r="F615" s="108">
        <f t="shared" ref="F615:L615" si="50">SUM(F612:F614)</f>
        <v>29426.19</v>
      </c>
      <c r="G615" s="108">
        <f t="shared" si="50"/>
        <v>584.38</v>
      </c>
      <c r="H615" s="108">
        <f t="shared" si="50"/>
        <v>3632.8</v>
      </c>
      <c r="I615" s="108">
        <f t="shared" si="50"/>
        <v>15888.58</v>
      </c>
      <c r="J615" s="108">
        <f t="shared" si="50"/>
        <v>0</v>
      </c>
      <c r="K615" s="108">
        <f t="shared" si="50"/>
        <v>0</v>
      </c>
      <c r="L615" s="89">
        <f t="shared" si="50"/>
        <v>49531.950000000004</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4217633.7699999996</v>
      </c>
      <c r="H618" s="109">
        <f>SUM(F52)</f>
        <v>4217633.7699999996</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64729.8</v>
      </c>
      <c r="H619" s="109">
        <f>SUM(G52)</f>
        <v>64729.8</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481510.68</v>
      </c>
      <c r="H620" s="109">
        <f>SUM(H52)</f>
        <v>481510.68</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200756.12</v>
      </c>
      <c r="H621" s="109">
        <f>SUM(I52)</f>
        <v>200756.12</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264781.94</v>
      </c>
      <c r="H622" s="109">
        <f>SUM(J52)</f>
        <v>264781.94</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3672467.5299999993</v>
      </c>
      <c r="H623" s="109">
        <f>F477</f>
        <v>3672467.5300000161</v>
      </c>
      <c r="I623" s="121" t="s">
        <v>101</v>
      </c>
      <c r="J623" s="109">
        <f t="shared" ref="J623:J656" si="51">G623-H623</f>
        <v>-1.6763806343078613E-8</v>
      </c>
      <c r="K623" s="109"/>
      <c r="L623" s="109"/>
      <c r="M623" s="8"/>
    </row>
    <row r="624" spans="1:14" s="3" customFormat="1" ht="12.2" customHeight="1" x14ac:dyDescent="0.15">
      <c r="A624" s="97"/>
      <c r="B624" s="105"/>
      <c r="C624" s="119"/>
      <c r="D624" s="119"/>
      <c r="E624" s="119"/>
      <c r="F624" s="119" t="s">
        <v>866</v>
      </c>
      <c r="G624" s="109">
        <f>G51</f>
        <v>62302.880000000005</v>
      </c>
      <c r="H624" s="109">
        <f>G477</f>
        <v>62302.879999999888</v>
      </c>
      <c r="I624" s="121" t="s">
        <v>102</v>
      </c>
      <c r="J624" s="109">
        <f t="shared" si="51"/>
        <v>1.1641532182693481E-10</v>
      </c>
      <c r="K624" s="109"/>
      <c r="L624" s="109"/>
      <c r="M624" s="8"/>
    </row>
    <row r="625" spans="1:13" s="3" customFormat="1" ht="12.2" customHeight="1" x14ac:dyDescent="0.15">
      <c r="A625" s="97"/>
      <c r="B625" s="105"/>
      <c r="C625" s="105"/>
      <c r="D625" s="105"/>
      <c r="E625" s="105"/>
      <c r="F625" s="120" t="s">
        <v>867</v>
      </c>
      <c r="G625" s="109">
        <f>H51</f>
        <v>191168.12</v>
      </c>
      <c r="H625" s="109">
        <f>H477</f>
        <v>191168.12000000011</v>
      </c>
      <c r="I625" s="121" t="s">
        <v>103</v>
      </c>
      <c r="J625" s="109">
        <f t="shared" si="51"/>
        <v>0</v>
      </c>
      <c r="K625" s="109"/>
      <c r="L625" s="109"/>
      <c r="M625" s="8"/>
    </row>
    <row r="626" spans="1:13" s="3" customFormat="1" ht="12.2" customHeight="1" x14ac:dyDescent="0.15">
      <c r="A626" s="97"/>
      <c r="B626" s="105"/>
      <c r="C626" s="105"/>
      <c r="D626" s="105"/>
      <c r="E626" s="105"/>
      <c r="F626" s="120" t="s">
        <v>868</v>
      </c>
      <c r="G626" s="109">
        <f>I51</f>
        <v>200756.12</v>
      </c>
      <c r="H626" s="109">
        <f>I477</f>
        <v>200756.12000000002</v>
      </c>
      <c r="I626" s="121" t="s">
        <v>104</v>
      </c>
      <c r="J626" s="109">
        <f t="shared" si="51"/>
        <v>0</v>
      </c>
      <c r="K626" s="109"/>
      <c r="L626" s="109"/>
      <c r="M626" s="8"/>
    </row>
    <row r="627" spans="1:13" s="3" customFormat="1" ht="12.2" customHeight="1" x14ac:dyDescent="0.15">
      <c r="A627" s="22"/>
      <c r="B627" s="105"/>
      <c r="C627" s="105"/>
      <c r="D627" s="105"/>
      <c r="E627" s="105"/>
      <c r="F627" s="120" t="s">
        <v>869</v>
      </c>
      <c r="G627" s="109">
        <f>J51</f>
        <v>264781.94</v>
      </c>
      <c r="H627" s="109">
        <f>J477</f>
        <v>264781.94</v>
      </c>
      <c r="I627" s="140" t="s">
        <v>105</v>
      </c>
      <c r="J627" s="109">
        <f t="shared" si="51"/>
        <v>0</v>
      </c>
      <c r="K627" s="85"/>
      <c r="L627" s="88"/>
      <c r="M627" s="8"/>
    </row>
    <row r="628" spans="1:13" s="3" customFormat="1" ht="12.2" customHeight="1" x14ac:dyDescent="0.15">
      <c r="A628" s="22"/>
      <c r="B628" s="105"/>
      <c r="C628" s="105"/>
      <c r="D628" s="105"/>
      <c r="E628" s="105"/>
      <c r="F628" s="120" t="s">
        <v>658</v>
      </c>
      <c r="G628" s="109">
        <f>F194</f>
        <v>70622356.179999992</v>
      </c>
      <c r="H628" s="104">
        <f>SUM(F469)</f>
        <v>70622356.180000007</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1381974.13</v>
      </c>
      <c r="H629" s="104">
        <f>SUM(G469)</f>
        <v>1381974.13</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1845778.0199999998</v>
      </c>
      <c r="H630" s="104">
        <f>SUM(H469)</f>
        <v>1845778.02</v>
      </c>
      <c r="I630" s="140" t="s">
        <v>108</v>
      </c>
      <c r="J630" s="109">
        <f>G630-H630</f>
        <v>0</v>
      </c>
      <c r="K630" s="85"/>
      <c r="L630" s="88"/>
      <c r="M630" s="8"/>
    </row>
    <row r="631" spans="1:13" s="3" customFormat="1" ht="12.2" customHeight="1" x14ac:dyDescent="0.15">
      <c r="A631" s="22"/>
      <c r="B631" s="105"/>
      <c r="C631" s="105"/>
      <c r="D631" s="105"/>
      <c r="E631" s="105"/>
      <c r="F631" s="120" t="s">
        <v>661</v>
      </c>
      <c r="G631" s="109">
        <f>I194</f>
        <v>368.2</v>
      </c>
      <c r="H631" s="104">
        <f>SUM(I469)</f>
        <v>368.2</v>
      </c>
      <c r="I631" s="140" t="s">
        <v>109</v>
      </c>
      <c r="J631" s="109">
        <f>G631-H631</f>
        <v>0</v>
      </c>
      <c r="K631" s="85"/>
      <c r="L631" s="88"/>
      <c r="M631" s="8"/>
    </row>
    <row r="632" spans="1:13" s="3" customFormat="1" ht="12.2" customHeight="1" x14ac:dyDescent="0.15">
      <c r="A632" s="22"/>
      <c r="B632" s="105"/>
      <c r="C632" s="105"/>
      <c r="D632" s="105"/>
      <c r="E632" s="105"/>
      <c r="F632" s="120" t="s">
        <v>662</v>
      </c>
      <c r="G632" s="109">
        <f>J194</f>
        <v>26798.92</v>
      </c>
      <c r="H632" s="104">
        <f>SUM(J469)</f>
        <v>26798.92</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69984906.909999996</v>
      </c>
      <c r="H633" s="104">
        <f>SUM(F473)</f>
        <v>69984906.909999996</v>
      </c>
      <c r="I633" s="140" t="s">
        <v>111</v>
      </c>
      <c r="J633" s="109">
        <f t="shared" si="51"/>
        <v>0</v>
      </c>
      <c r="K633" s="85"/>
      <c r="L633" s="88"/>
      <c r="M633" s="8"/>
    </row>
    <row r="634" spans="1:13" s="3" customFormat="1" ht="12.2" customHeight="1" x14ac:dyDescent="0.15">
      <c r="A634" s="22"/>
      <c r="B634" s="105"/>
      <c r="C634" s="105"/>
      <c r="D634" s="105"/>
      <c r="E634" s="105"/>
      <c r="F634" s="120" t="s">
        <v>395</v>
      </c>
      <c r="G634" s="109">
        <f>SUM(L353)</f>
        <v>1864028.6400000001</v>
      </c>
      <c r="H634" s="104">
        <f>SUM(H473)</f>
        <v>1864028.64</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542266.79</v>
      </c>
      <c r="H635" s="104">
        <f>I370</f>
        <v>542266.79</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1393401.4899999998</v>
      </c>
      <c r="H636" s="104">
        <f>SUM(G473)</f>
        <v>1393401.49</v>
      </c>
      <c r="I636" s="140" t="s">
        <v>114</v>
      </c>
      <c r="J636" s="109">
        <f t="shared" si="51"/>
        <v>0</v>
      </c>
      <c r="K636" s="85"/>
      <c r="L636" s="88"/>
      <c r="M636" s="168"/>
    </row>
    <row r="637" spans="1:13" s="3" customFormat="1" ht="12.2" customHeight="1" x14ac:dyDescent="0.15">
      <c r="A637" s="22"/>
      <c r="B637" s="105"/>
      <c r="C637" s="105"/>
      <c r="D637" s="105"/>
      <c r="E637" s="105"/>
      <c r="F637" s="120" t="s">
        <v>115</v>
      </c>
      <c r="G637" s="109">
        <f>SUM(L383)</f>
        <v>197638.33000000002</v>
      </c>
      <c r="H637" s="104">
        <f>SUM(I473)</f>
        <v>197638.33</v>
      </c>
      <c r="I637" s="140" t="s">
        <v>116</v>
      </c>
      <c r="J637" s="109">
        <f t="shared" si="51"/>
        <v>0</v>
      </c>
      <c r="K637" s="85"/>
      <c r="L637" s="88"/>
      <c r="M637" s="8"/>
    </row>
    <row r="638" spans="1:13" s="3" customFormat="1" ht="12.2" customHeight="1" x14ac:dyDescent="0.15">
      <c r="A638" s="161"/>
      <c r="B638" s="162"/>
      <c r="C638" s="162"/>
      <c r="D638" s="162"/>
      <c r="E638" s="162"/>
      <c r="F638" s="163" t="s">
        <v>477</v>
      </c>
      <c r="G638" s="151">
        <f>SUM(L409)</f>
        <v>26798.92</v>
      </c>
      <c r="H638" s="164">
        <f>SUM(J469)</f>
        <v>26798.92</v>
      </c>
      <c r="I638" s="165" t="s">
        <v>110</v>
      </c>
      <c r="J638" s="151">
        <f t="shared" si="51"/>
        <v>0</v>
      </c>
      <c r="K638" s="166"/>
      <c r="L638" s="167"/>
      <c r="M638" s="8"/>
    </row>
    <row r="639" spans="1:13" s="3" customFormat="1" ht="12.2" customHeight="1" x14ac:dyDescent="0.15">
      <c r="A639" s="161"/>
      <c r="B639" s="162"/>
      <c r="C639" s="162"/>
      <c r="D639" s="162"/>
      <c r="E639" s="162"/>
      <c r="F639" s="163" t="s">
        <v>478</v>
      </c>
      <c r="G639" s="151">
        <f>SUM(L435)</f>
        <v>957.92</v>
      </c>
      <c r="H639" s="164">
        <f>SUM(J473)</f>
        <v>957.92</v>
      </c>
      <c r="I639" s="165" t="s">
        <v>117</v>
      </c>
      <c r="J639" s="151">
        <f t="shared" si="51"/>
        <v>0</v>
      </c>
      <c r="K639" s="166"/>
      <c r="L639" s="167"/>
      <c r="M639" s="8"/>
    </row>
    <row r="640" spans="1:13" s="3" customFormat="1" ht="12.2" customHeight="1" x14ac:dyDescent="0.15">
      <c r="A640" s="22"/>
      <c r="B640" s="105"/>
      <c r="C640" s="105"/>
      <c r="D640" s="105"/>
      <c r="E640" s="105"/>
      <c r="F640" s="120" t="s">
        <v>118</v>
      </c>
      <c r="G640" s="109">
        <f>SUM(F447)</f>
        <v>30169.45</v>
      </c>
      <c r="H640" s="104">
        <f>SUM(F462)</f>
        <v>30169.45</v>
      </c>
      <c r="I640" s="140" t="s">
        <v>841</v>
      </c>
      <c r="J640" s="109">
        <f t="shared" si="51"/>
        <v>0</v>
      </c>
      <c r="K640" s="85"/>
      <c r="L640" s="88"/>
      <c r="M640" s="8"/>
    </row>
    <row r="641" spans="1:13" s="3" customFormat="1" ht="12.2" customHeight="1" x14ac:dyDescent="0.15">
      <c r="A641" s="22"/>
      <c r="B641" s="105"/>
      <c r="C641" s="105"/>
      <c r="D641" s="105"/>
      <c r="E641" s="105"/>
      <c r="F641" s="120" t="s">
        <v>119</v>
      </c>
      <c r="G641" s="109">
        <f>SUM(G447)</f>
        <v>234612.49</v>
      </c>
      <c r="H641" s="104">
        <f>SUM(G462)</f>
        <v>234612.49</v>
      </c>
      <c r="I641" s="140" t="s">
        <v>842</v>
      </c>
      <c r="J641" s="109">
        <f t="shared" si="51"/>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1"/>
        <v>0</v>
      </c>
      <c r="K642" s="85"/>
      <c r="L642" s="88"/>
      <c r="M642" s="8"/>
    </row>
    <row r="643" spans="1:13" s="3" customFormat="1" ht="12.2" customHeight="1" x14ac:dyDescent="0.15">
      <c r="A643" s="22"/>
      <c r="B643" s="105"/>
      <c r="C643" s="105"/>
      <c r="D643" s="105"/>
      <c r="E643" s="105"/>
      <c r="F643" s="120" t="s">
        <v>121</v>
      </c>
      <c r="G643" s="109">
        <f>SUM(I447)</f>
        <v>264781.94</v>
      </c>
      <c r="H643" s="104">
        <f>SUM(I462)</f>
        <v>264781.94</v>
      </c>
      <c r="I643" s="140" t="s">
        <v>844</v>
      </c>
      <c r="J643" s="109">
        <f t="shared" si="51"/>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1"/>
        <v>0</v>
      </c>
      <c r="K644" s="85"/>
      <c r="L644" s="88"/>
      <c r="M644" s="8"/>
    </row>
    <row r="645" spans="1:13" s="3" customFormat="1" ht="12.2" customHeight="1" x14ac:dyDescent="0.15">
      <c r="A645" s="22"/>
      <c r="B645" s="105"/>
      <c r="C645" s="105"/>
      <c r="D645" s="105"/>
      <c r="E645" s="105"/>
      <c r="F645" s="120" t="s">
        <v>663</v>
      </c>
      <c r="G645" s="109">
        <f>J96</f>
        <v>1224.92</v>
      </c>
      <c r="H645" s="104">
        <f>H409</f>
        <v>1224.92</v>
      </c>
      <c r="I645" s="140" t="s">
        <v>480</v>
      </c>
      <c r="J645" s="109">
        <f t="shared" si="51"/>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1"/>
        <v>0</v>
      </c>
      <c r="K646" s="85"/>
      <c r="L646" s="88"/>
      <c r="M646" s="8"/>
    </row>
    <row r="647" spans="1:13" s="3" customFormat="1" ht="12.2" customHeight="1" x14ac:dyDescent="0.15">
      <c r="A647" s="22"/>
      <c r="B647" s="105"/>
      <c r="C647" s="105"/>
      <c r="D647" s="105"/>
      <c r="E647" s="105"/>
      <c r="F647" s="120" t="s">
        <v>662</v>
      </c>
      <c r="G647" s="109">
        <f>J194</f>
        <v>26798.92</v>
      </c>
      <c r="H647" s="104">
        <f>L409</f>
        <v>26798.92</v>
      </c>
      <c r="I647" s="140" t="s">
        <v>477</v>
      </c>
      <c r="J647" s="109">
        <f t="shared" si="51"/>
        <v>0</v>
      </c>
      <c r="K647" s="85"/>
      <c r="L647" s="88"/>
      <c r="M647" s="8"/>
    </row>
    <row r="648" spans="1:13" s="3" customFormat="1" ht="12.2" customHeight="1" x14ac:dyDescent="0.15">
      <c r="A648" s="22"/>
      <c r="B648" s="105"/>
      <c r="C648" s="105"/>
      <c r="D648" s="105"/>
      <c r="E648" s="105"/>
      <c r="F648" s="120" t="s">
        <v>51</v>
      </c>
      <c r="G648" s="109">
        <f>K599</f>
        <v>2641191.9000000004</v>
      </c>
      <c r="H648" s="104">
        <f>L209+L227+L245</f>
        <v>2641191.9000000004</v>
      </c>
      <c r="I648" s="140" t="s">
        <v>396</v>
      </c>
      <c r="J648" s="109">
        <f t="shared" si="51"/>
        <v>0</v>
      </c>
      <c r="K648" s="85"/>
      <c r="L648" s="88"/>
      <c r="M648" s="8"/>
    </row>
    <row r="649" spans="1:13" s="3" customFormat="1" ht="12.2" customHeight="1" x14ac:dyDescent="0.15">
      <c r="A649" s="22"/>
      <c r="B649" s="105"/>
      <c r="C649" s="105"/>
      <c r="D649" s="105"/>
      <c r="E649" s="105"/>
      <c r="F649" s="120" t="s">
        <v>52</v>
      </c>
      <c r="G649" s="109">
        <f>K606</f>
        <v>544529.23</v>
      </c>
      <c r="H649" s="104">
        <f>(J258+J339)-(J256+J337)</f>
        <v>544529.23</v>
      </c>
      <c r="I649" s="140" t="s">
        <v>699</v>
      </c>
      <c r="J649" s="109">
        <f t="shared" si="51"/>
        <v>0</v>
      </c>
      <c r="K649" s="85"/>
      <c r="L649" s="88"/>
      <c r="M649" s="8"/>
    </row>
    <row r="650" spans="1:13" s="3" customFormat="1" ht="12.2" customHeight="1" x14ac:dyDescent="0.15">
      <c r="A650" s="22"/>
      <c r="B650" s="105"/>
      <c r="C650" s="105"/>
      <c r="D650" s="105"/>
      <c r="E650" s="105"/>
      <c r="F650" s="120" t="s">
        <v>387</v>
      </c>
      <c r="G650" s="109">
        <f>L209</f>
        <v>1147753.08</v>
      </c>
      <c r="H650" s="104">
        <f>H599</f>
        <v>1147753.08</v>
      </c>
      <c r="I650" s="140" t="s">
        <v>388</v>
      </c>
      <c r="J650" s="109">
        <f t="shared" si="51"/>
        <v>0</v>
      </c>
      <c r="K650" s="85"/>
      <c r="L650" s="88"/>
      <c r="M650" s="8"/>
    </row>
    <row r="651" spans="1:13" s="3" customFormat="1" ht="12.2" customHeight="1" x14ac:dyDescent="0.15">
      <c r="A651" s="22"/>
      <c r="B651" s="105"/>
      <c r="C651" s="105"/>
      <c r="D651" s="105"/>
      <c r="E651" s="105"/>
      <c r="F651" s="120" t="s">
        <v>392</v>
      </c>
      <c r="G651" s="109">
        <f>L227</f>
        <v>581852.62</v>
      </c>
      <c r="H651" s="104">
        <f>I599</f>
        <v>581852.62</v>
      </c>
      <c r="I651" s="140" t="s">
        <v>389</v>
      </c>
      <c r="J651" s="109">
        <f t="shared" si="51"/>
        <v>0</v>
      </c>
      <c r="K651" s="85"/>
      <c r="L651" s="88"/>
      <c r="M651" s="8"/>
    </row>
    <row r="652" spans="1:13" s="3" customFormat="1" ht="12.2" customHeight="1" x14ac:dyDescent="0.15">
      <c r="A652" s="22"/>
      <c r="B652" s="105"/>
      <c r="C652" s="105"/>
      <c r="D652" s="105"/>
      <c r="E652" s="105"/>
      <c r="F652" s="120" t="s">
        <v>393</v>
      </c>
      <c r="G652" s="109">
        <f>L245</f>
        <v>911586.20000000007</v>
      </c>
      <c r="H652" s="104">
        <f>J599</f>
        <v>911586.2</v>
      </c>
      <c r="I652" s="140" t="s">
        <v>390</v>
      </c>
      <c r="J652" s="109">
        <f t="shared" si="51"/>
        <v>0</v>
      </c>
      <c r="K652" s="85"/>
      <c r="L652" s="88"/>
      <c r="M652" s="8"/>
    </row>
    <row r="653" spans="1:13" s="3" customFormat="1" ht="12.2" customHeight="1" x14ac:dyDescent="0.15">
      <c r="A653" s="22"/>
      <c r="B653" s="105"/>
      <c r="C653" s="105"/>
      <c r="D653" s="105"/>
      <c r="E653" s="105"/>
      <c r="F653" s="120" t="s">
        <v>665</v>
      </c>
      <c r="G653" s="109">
        <f>G180</f>
        <v>0</v>
      </c>
      <c r="H653" s="104">
        <f>K264+K346</f>
        <v>0</v>
      </c>
      <c r="I653" s="140" t="s">
        <v>397</v>
      </c>
      <c r="J653" s="109">
        <f t="shared" si="51"/>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1"/>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1"/>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1"/>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26514840.210000001</v>
      </c>
      <c r="G661" s="19">
        <f>(L230+L310+L360)</f>
        <v>14221192.840000002</v>
      </c>
      <c r="H661" s="19">
        <f>(L248+L329+L361)</f>
        <v>23059038.559999999</v>
      </c>
      <c r="I661" s="19">
        <f>SUM(F661:H661)</f>
        <v>63795071.609999999</v>
      </c>
      <c r="J661" s="13"/>
      <c r="K661" s="13"/>
      <c r="L661" s="13"/>
      <c r="M661" s="9"/>
    </row>
    <row r="662" spans="1:13" s="3" customFormat="1" ht="12.2" customHeight="1" x14ac:dyDescent="0.2">
      <c r="A662" s="1" t="s">
        <v>127</v>
      </c>
      <c r="F662" s="19">
        <f>(L359/IF(SUM(L359:L361)=0,1,SUM(L359:L361))*(SUM(G97:G110)))</f>
        <v>318610.77322200779</v>
      </c>
      <c r="G662" s="19">
        <f>(L360/IF(SUM(L359:L361)=0,1,SUM(L359:L361))*(SUM(G97:G110)))</f>
        <v>193588.34585774958</v>
      </c>
      <c r="H662" s="19">
        <f>(L361/IF(SUM(L359:L361)=0,1,SUM(L359:L361))*(SUM(G97:G110)))</f>
        <v>308025.21092024271</v>
      </c>
      <c r="I662" s="19">
        <f>SUM(F662:H662)</f>
        <v>820224.33000000007</v>
      </c>
      <c r="J662"/>
      <c r="K662" s="13"/>
      <c r="L662" s="13"/>
      <c r="M662" s="8"/>
    </row>
    <row r="663" spans="1:13" s="3" customFormat="1" ht="12.2" customHeight="1" x14ac:dyDescent="0.2">
      <c r="A663" s="1" t="s">
        <v>128</v>
      </c>
      <c r="F663" s="19">
        <f>(L209+L288)-(J209+J288)</f>
        <v>1168909.32</v>
      </c>
      <c r="G663" s="19">
        <f>(L227+L307)-(J227+J307)</f>
        <v>593555.74</v>
      </c>
      <c r="H663" s="19">
        <f>(L245+L326)-(J245+J326)</f>
        <v>927882.25000000012</v>
      </c>
      <c r="I663" s="19">
        <f>SUM(F663:H663)</f>
        <v>2690347.31</v>
      </c>
      <c r="J663"/>
      <c r="K663" s="13"/>
      <c r="L663" s="13"/>
      <c r="M663" s="9"/>
    </row>
    <row r="664" spans="1:13" s="3" customFormat="1" ht="12.2" customHeight="1" x14ac:dyDescent="0.15">
      <c r="A664" s="198" t="s">
        <v>129</v>
      </c>
      <c r="B664" s="169"/>
      <c r="C664" s="169"/>
      <c r="D664" s="169"/>
      <c r="E664" s="169"/>
      <c r="F664" s="199">
        <f>SUM(F576:F588)+SUM(H603:H605)+SUM(L612)</f>
        <v>515562.42119999998</v>
      </c>
      <c r="G664" s="199">
        <f>SUM(G576:G588)+SUM(I603:I605)+L613</f>
        <v>172760.3456</v>
      </c>
      <c r="H664" s="199">
        <f>SUM(H576:H588)+SUM(J603:J605)+L614</f>
        <v>961264.65320000006</v>
      </c>
      <c r="I664" s="19">
        <f>SUM(F664:H664)</f>
        <v>1649587.42</v>
      </c>
      <c r="J664" s="13"/>
      <c r="K664" s="13"/>
      <c r="L664" s="13"/>
      <c r="M664" s="9"/>
    </row>
    <row r="665" spans="1:13" s="3" customFormat="1" ht="12.2" customHeight="1" x14ac:dyDescent="0.15">
      <c r="A665" s="1" t="s">
        <v>130</v>
      </c>
      <c r="F665" s="19">
        <f>F661-SUM(F662:F664)</f>
        <v>24511757.695577994</v>
      </c>
      <c r="G665" s="19">
        <f>G661-SUM(G662:G664)</f>
        <v>13261288.408542253</v>
      </c>
      <c r="H665" s="19">
        <f>H661-SUM(H662:H664)</f>
        <v>20861866.445879757</v>
      </c>
      <c r="I665" s="19">
        <f>I661-SUM(I662:I664)</f>
        <v>58634912.549999997</v>
      </c>
      <c r="J665" s="13"/>
      <c r="K665" s="13"/>
      <c r="L665" s="13"/>
      <c r="M665" s="8"/>
    </row>
    <row r="666" spans="1:13" s="3" customFormat="1" ht="12.2" customHeight="1" x14ac:dyDescent="0.2">
      <c r="A666" s="1" t="s">
        <v>131</v>
      </c>
      <c r="F666" s="246">
        <f>28.61+237.18+1259.42</f>
        <v>1525.21</v>
      </c>
      <c r="G666" s="247">
        <v>803.33</v>
      </c>
      <c r="H666" s="247">
        <v>1161.08</v>
      </c>
      <c r="I666" s="19">
        <f>SUM(F666:H666)</f>
        <v>3489.62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16071.07</v>
      </c>
      <c r="G668" s="19">
        <f>ROUND(G665/G666,2)</f>
        <v>16507.900000000001</v>
      </c>
      <c r="H668" s="19">
        <f>ROUND(H665/H666,2)</f>
        <v>17967.64</v>
      </c>
      <c r="I668" s="19">
        <f>ROUND(I665/I666,2)</f>
        <v>16802.66</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47.34</v>
      </c>
      <c r="I671" s="19">
        <f>SUM(F671:H671)</f>
        <v>47.34</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16071.07</v>
      </c>
      <c r="G673" s="19">
        <f>ROUND((G665+G670)/(G666+G671),2)</f>
        <v>16507.900000000001</v>
      </c>
      <c r="H673" s="19">
        <f>ROUND((H665+H670)/(H666+H671),2)</f>
        <v>17263.75</v>
      </c>
      <c r="I673" s="19">
        <f>ROUND((I665+I670)/(I666+I671),2)</f>
        <v>16577.77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11" man="1"/>
    <brk id="170" max="11" man="1"/>
    <brk id="194" max="11" man="1"/>
    <brk id="212" max="11" man="1"/>
    <brk id="230" max="11" man="1"/>
    <brk id="248" max="11" man="1"/>
    <brk id="272" max="11" man="1"/>
    <brk id="291" max="11" man="1"/>
    <brk id="310" max="11" man="1"/>
    <brk id="329" max="11" man="1"/>
    <brk id="353" max="11" man="1"/>
    <brk id="383" max="11" man="1"/>
    <brk id="409" max="11" man="1"/>
    <brk id="435" max="11" man="1"/>
    <brk id="462" max="11" man="1"/>
    <brk id="486" max="11" man="1"/>
    <brk id="518" max="11" man="1"/>
    <brk id="553" max="11" man="1"/>
    <brk id="589" max="11" man="1"/>
    <brk id="616" max="11" man="1"/>
    <brk id="657" max="11"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3" t="s">
        <v>1590</v>
      </c>
      <c r="B1" s="343"/>
      <c r="C1" s="343"/>
      <c r="D1" s="343"/>
      <c r="E1" s="343"/>
      <c r="F1" s="343"/>
      <c r="G1" s="343"/>
      <c r="H1" s="343"/>
    </row>
    <row r="2" spans="1:9" ht="15" x14ac:dyDescent="0.2">
      <c r="A2" s="343" t="s">
        <v>1586</v>
      </c>
      <c r="B2" s="343"/>
      <c r="C2" s="343"/>
      <c r="D2" s="343"/>
      <c r="E2" s="343"/>
      <c r="F2" s="343"/>
      <c r="G2" s="343"/>
      <c r="H2" s="343"/>
    </row>
    <row r="3" spans="1:9" ht="15.75" x14ac:dyDescent="0.25">
      <c r="A3" s="327" t="s">
        <v>1604</v>
      </c>
      <c r="B3" s="328" t="s">
        <v>1639</v>
      </c>
      <c r="C3" s="326"/>
      <c r="D3" s="326"/>
      <c r="E3" s="326"/>
      <c r="F3" s="326"/>
      <c r="G3" s="326"/>
      <c r="H3" s="326"/>
      <c r="I3" t="s">
        <v>1638</v>
      </c>
    </row>
    <row r="4" spans="1:9" x14ac:dyDescent="0.2">
      <c r="I4" t="s">
        <v>1639</v>
      </c>
    </row>
    <row r="5" spans="1:9" ht="15.75" x14ac:dyDescent="0.25">
      <c r="A5" s="322" t="s">
        <v>911</v>
      </c>
      <c r="B5" s="344" t="str">
        <f>'DOE25'!A2</f>
        <v>Salem School District</v>
      </c>
      <c r="C5" s="345"/>
      <c r="D5" s="345"/>
      <c r="E5" s="345"/>
      <c r="F5" s="345"/>
    </row>
    <row r="8" spans="1:9" ht="18" x14ac:dyDescent="0.25">
      <c r="A8" s="323" t="s">
        <v>1591</v>
      </c>
      <c r="F8" s="330" t="s">
        <v>1609</v>
      </c>
    </row>
    <row r="9" spans="1:9" ht="15" x14ac:dyDescent="0.2">
      <c r="A9" s="321" t="s">
        <v>1592</v>
      </c>
      <c r="B9" s="324">
        <f>'DOE25'!G97</f>
        <v>820224.33</v>
      </c>
      <c r="F9" s="321" t="s">
        <v>1605</v>
      </c>
    </row>
    <row r="10" spans="1:9" ht="15" x14ac:dyDescent="0.2">
      <c r="A10" s="321" t="s">
        <v>1593</v>
      </c>
      <c r="B10" s="324">
        <f>'DOE25'!G112-'DOE25'!G97</f>
        <v>0</v>
      </c>
      <c r="F10" s="321" t="s">
        <v>1606</v>
      </c>
    </row>
    <row r="11" spans="1:9" ht="15" x14ac:dyDescent="0.2">
      <c r="A11" s="321" t="s">
        <v>1594</v>
      </c>
      <c r="B11" s="324">
        <f>'DOE25'!G140</f>
        <v>12810.24</v>
      </c>
      <c r="F11" s="321" t="s">
        <v>1607</v>
      </c>
    </row>
    <row r="12" spans="1:9" ht="15" x14ac:dyDescent="0.2">
      <c r="A12" s="321" t="s">
        <v>1595</v>
      </c>
      <c r="B12" s="324">
        <f>'DOE25'!G170</f>
        <v>548939.56000000006</v>
      </c>
      <c r="F12" s="321" t="s">
        <v>1608</v>
      </c>
    </row>
    <row r="13" spans="1:9" ht="15" x14ac:dyDescent="0.2">
      <c r="A13" s="321" t="s">
        <v>1596</v>
      </c>
      <c r="B13" s="324">
        <f>'DOE25'!G193-'DOE25'!G180</f>
        <v>0</v>
      </c>
      <c r="F13" s="321" t="s">
        <v>1618</v>
      </c>
    </row>
    <row r="14" spans="1:9" ht="18" x14ac:dyDescent="0.25">
      <c r="A14" s="323" t="s">
        <v>732</v>
      </c>
      <c r="B14" s="325">
        <f>SUM(B9:B13)</f>
        <v>1381974.13</v>
      </c>
    </row>
    <row r="16" spans="1:9" ht="18" x14ac:dyDescent="0.25">
      <c r="A16" s="323" t="s">
        <v>786</v>
      </c>
      <c r="F16" s="330" t="s">
        <v>1610</v>
      </c>
    </row>
    <row r="17" spans="1:6" ht="15" x14ac:dyDescent="0.2">
      <c r="A17" s="321" t="s">
        <v>1597</v>
      </c>
      <c r="B17" s="324">
        <f>'DOE25'!L363-'DOE25'!L362</f>
        <v>1393401.4899999998</v>
      </c>
      <c r="F17" s="321" t="s">
        <v>1611</v>
      </c>
    </row>
    <row r="18" spans="1:6" ht="15" x14ac:dyDescent="0.2">
      <c r="A18" s="321" t="s">
        <v>1598</v>
      </c>
      <c r="B18" s="338"/>
      <c r="F18" s="330" t="s">
        <v>1637</v>
      </c>
    </row>
    <row r="19" spans="1:6" ht="18" x14ac:dyDescent="0.25">
      <c r="A19" s="323" t="s">
        <v>725</v>
      </c>
      <c r="B19" s="325">
        <f>SUM(B17:B18)</f>
        <v>1393401.4899999998</v>
      </c>
    </row>
    <row r="21" spans="1:6" ht="18.75" thickBot="1" x14ac:dyDescent="0.3">
      <c r="A21" s="323" t="s">
        <v>1599</v>
      </c>
    </row>
    <row r="22" spans="1:6" ht="18.75" thickTop="1" x14ac:dyDescent="0.25">
      <c r="A22" s="323" t="s">
        <v>1600</v>
      </c>
      <c r="B22" s="329">
        <f>B14-B19</f>
        <v>-11427.35999999987</v>
      </c>
      <c r="F22" s="321" t="s">
        <v>1612</v>
      </c>
    </row>
    <row r="26" spans="1:6" ht="18" x14ac:dyDescent="0.25">
      <c r="A26" s="323" t="s">
        <v>186</v>
      </c>
    </row>
    <row r="27" spans="1:6" ht="15" x14ac:dyDescent="0.2">
      <c r="A27" s="321" t="s">
        <v>1601</v>
      </c>
      <c r="B27" s="324">
        <f>'DOE25'!G180</f>
        <v>0</v>
      </c>
      <c r="F27" s="321" t="s">
        <v>1613</v>
      </c>
    </row>
    <row r="28" spans="1:6" ht="15" x14ac:dyDescent="0.2">
      <c r="A28" s="321" t="s">
        <v>1603</v>
      </c>
      <c r="B28" s="324">
        <f>'DOE25'!L362</f>
        <v>0</v>
      </c>
      <c r="F28" s="321" t="s">
        <v>1614</v>
      </c>
    </row>
    <row r="31" spans="1:6" ht="15" x14ac:dyDescent="0.2">
      <c r="A31" s="321" t="s">
        <v>1640</v>
      </c>
      <c r="B31" s="324">
        <f>'DOE25'!G466</f>
        <v>73730.240000000005</v>
      </c>
      <c r="F31" s="321" t="s">
        <v>1615</v>
      </c>
    </row>
    <row r="33" spans="1:6" ht="15" x14ac:dyDescent="0.2">
      <c r="A33" s="321" t="s">
        <v>1641</v>
      </c>
      <c r="B33" s="324">
        <f>'DOE25'!G477</f>
        <v>62302.879999999888</v>
      </c>
      <c r="F33" s="321" t="s">
        <v>1616</v>
      </c>
    </row>
    <row r="36" spans="1:6" ht="15" x14ac:dyDescent="0.2">
      <c r="A36" s="321" t="s">
        <v>1602</v>
      </c>
      <c r="B36" s="339">
        <v>58312.62</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F46" sqref="F46"/>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Salem School District</v>
      </c>
      <c r="C1" s="238" t="s">
        <v>824</v>
      </c>
    </row>
    <row r="2" spans="1:3" x14ac:dyDescent="0.2">
      <c r="A2" s="233"/>
      <c r="B2" s="232"/>
    </row>
    <row r="3" spans="1:3" x14ac:dyDescent="0.2">
      <c r="A3" s="349" t="s">
        <v>780</v>
      </c>
      <c r="B3" s="349"/>
      <c r="C3" s="349"/>
    </row>
    <row r="4" spans="1:3" x14ac:dyDescent="0.2">
      <c r="A4" s="236"/>
      <c r="B4" s="237" t="str">
        <f>'DOE25'!H1</f>
        <v>DOE 25  2019-2020</v>
      </c>
      <c r="C4" s="236"/>
    </row>
    <row r="5" spans="1:3" x14ac:dyDescent="0.2">
      <c r="A5" s="233"/>
      <c r="B5" s="232"/>
    </row>
    <row r="6" spans="1:3" x14ac:dyDescent="0.2">
      <c r="A6" s="227"/>
      <c r="B6" s="348" t="s">
        <v>779</v>
      </c>
      <c r="C6" s="348"/>
    </row>
    <row r="7" spans="1:3" x14ac:dyDescent="0.2">
      <c r="A7" s="239" t="s">
        <v>782</v>
      </c>
      <c r="B7" s="346" t="s">
        <v>778</v>
      </c>
      <c r="C7" s="347"/>
    </row>
    <row r="8" spans="1:3" x14ac:dyDescent="0.2">
      <c r="B8" s="228" t="s">
        <v>54</v>
      </c>
      <c r="C8" s="228" t="s">
        <v>772</v>
      </c>
    </row>
    <row r="9" spans="1:3" x14ac:dyDescent="0.2">
      <c r="A9" s="33" t="s">
        <v>773</v>
      </c>
      <c r="B9" s="229">
        <f>'DOE25'!F198+'DOE25'!F216+'DOE25'!F234+'DOE25'!F277+'DOE25'!F296+'DOE25'!F315</f>
        <v>18068214.640000001</v>
      </c>
      <c r="C9" s="229">
        <f>'DOE25'!G198+'DOE25'!G216+'DOE25'!G234+'DOE25'!G277+'DOE25'!G296+'DOE25'!G315</f>
        <v>8944350.3800000008</v>
      </c>
    </row>
    <row r="10" spans="1:3" x14ac:dyDescent="0.2">
      <c r="A10" t="s">
        <v>775</v>
      </c>
      <c r="B10" s="240">
        <v>16793805.43</v>
      </c>
      <c r="C10" s="240">
        <v>8313476.6600000001</v>
      </c>
    </row>
    <row r="11" spans="1:3" x14ac:dyDescent="0.2">
      <c r="A11" t="s">
        <v>776</v>
      </c>
      <c r="B11" s="240">
        <v>606774.43999999994</v>
      </c>
      <c r="C11" s="240">
        <v>300372.92</v>
      </c>
    </row>
    <row r="12" spans="1:3" x14ac:dyDescent="0.2">
      <c r="A12" t="s">
        <v>777</v>
      </c>
      <c r="B12" s="240">
        <v>667634.77</v>
      </c>
      <c r="C12" s="240">
        <v>330500.8</v>
      </c>
    </row>
    <row r="13" spans="1:3" x14ac:dyDescent="0.2">
      <c r="A13" t="str">
        <f>IF(B9=B13,IF(C9=C13,"Check Total OK","Check Total Error"),"Check Total Error")</f>
        <v>Check Total OK</v>
      </c>
      <c r="B13" s="231">
        <f>SUM(B10:B12)</f>
        <v>18068214.640000001</v>
      </c>
      <c r="C13" s="231">
        <f>SUM(C10:C12)</f>
        <v>8944350.3800000008</v>
      </c>
    </row>
    <row r="14" spans="1:3" x14ac:dyDescent="0.2">
      <c r="B14" s="230"/>
      <c r="C14" s="230"/>
    </row>
    <row r="15" spans="1:3" x14ac:dyDescent="0.2">
      <c r="B15" s="348" t="s">
        <v>779</v>
      </c>
      <c r="C15" s="348"/>
    </row>
    <row r="16" spans="1:3" x14ac:dyDescent="0.2">
      <c r="A16" s="239" t="s">
        <v>783</v>
      </c>
      <c r="B16" s="346" t="s">
        <v>703</v>
      </c>
      <c r="C16" s="347"/>
    </row>
    <row r="17" spans="1:3" x14ac:dyDescent="0.2">
      <c r="B17" s="228" t="s">
        <v>54</v>
      </c>
      <c r="C17" s="228" t="s">
        <v>772</v>
      </c>
    </row>
    <row r="18" spans="1:3" x14ac:dyDescent="0.2">
      <c r="A18" s="33" t="s">
        <v>773</v>
      </c>
      <c r="B18" s="229">
        <f>'DOE25'!F199+'DOE25'!F217+'DOE25'!F235+'DOE25'!F278+'DOE25'!F297+'DOE25'!F316</f>
        <v>6406089.6299999999</v>
      </c>
      <c r="C18" s="229">
        <f>'DOE25'!G199+'DOE25'!G217+'DOE25'!G235+'DOE25'!G278+'DOE25'!G297+'DOE25'!G316</f>
        <v>2707733.58</v>
      </c>
    </row>
    <row r="19" spans="1:3" x14ac:dyDescent="0.2">
      <c r="A19" t="s">
        <v>775</v>
      </c>
      <c r="B19" s="240">
        <v>2827889.88</v>
      </c>
      <c r="C19" s="240">
        <v>1195295.8600000001</v>
      </c>
    </row>
    <row r="20" spans="1:3" x14ac:dyDescent="0.2">
      <c r="A20" t="s">
        <v>776</v>
      </c>
      <c r="B20" s="240">
        <v>2501192.77</v>
      </c>
      <c r="C20" s="240">
        <v>1057207.1299999999</v>
      </c>
    </row>
    <row r="21" spans="1:3" x14ac:dyDescent="0.2">
      <c r="A21" t="s">
        <v>777</v>
      </c>
      <c r="B21" s="240">
        <v>1077006.98</v>
      </c>
      <c r="C21" s="240">
        <v>455230.59</v>
      </c>
    </row>
    <row r="22" spans="1:3" x14ac:dyDescent="0.2">
      <c r="A22" t="str">
        <f>IF(B18=B22,IF(C18=C22,"Check Total OK","Check Total Error"),"Check Total Error")</f>
        <v>Check Total OK</v>
      </c>
      <c r="B22" s="231">
        <f>SUM(B19:B21)</f>
        <v>6406089.6300000008</v>
      </c>
      <c r="C22" s="231">
        <f>SUM(C19:C21)</f>
        <v>2707733.58</v>
      </c>
    </row>
    <row r="23" spans="1:3" x14ac:dyDescent="0.2">
      <c r="B23" s="230"/>
      <c r="C23" s="230"/>
    </row>
    <row r="24" spans="1:3" x14ac:dyDescent="0.2">
      <c r="B24" s="348" t="s">
        <v>779</v>
      </c>
      <c r="C24" s="348"/>
    </row>
    <row r="25" spans="1:3" x14ac:dyDescent="0.2">
      <c r="A25" s="239" t="s">
        <v>784</v>
      </c>
      <c r="B25" s="346" t="s">
        <v>704</v>
      </c>
      <c r="C25" s="347"/>
    </row>
    <row r="26" spans="1:3" x14ac:dyDescent="0.2">
      <c r="B26" s="228" t="s">
        <v>54</v>
      </c>
      <c r="C26" s="228" t="s">
        <v>772</v>
      </c>
    </row>
    <row r="27" spans="1:3" x14ac:dyDescent="0.2">
      <c r="A27" s="33" t="s">
        <v>773</v>
      </c>
      <c r="B27" s="234">
        <f>'DOE25'!F200+'DOE25'!F218+'DOE25'!F236+'DOE25'!F279+'DOE25'!F298+'DOE25'!F317</f>
        <v>1041823.79</v>
      </c>
      <c r="C27" s="234">
        <f>'DOE25'!G200+'DOE25'!G218+'DOE25'!G236+'DOE25'!G279+'DOE25'!G298+'DOE25'!G317</f>
        <v>544497.53</v>
      </c>
    </row>
    <row r="28" spans="1:3" x14ac:dyDescent="0.2">
      <c r="A28" t="s">
        <v>775</v>
      </c>
      <c r="B28" s="240">
        <v>678099.93</v>
      </c>
      <c r="C28" s="240">
        <v>357603.52</v>
      </c>
    </row>
    <row r="29" spans="1:3" x14ac:dyDescent="0.2">
      <c r="A29" t="s">
        <v>776</v>
      </c>
      <c r="B29" s="240">
        <v>62812.84</v>
      </c>
      <c r="C29" s="240">
        <v>33125.050000000003</v>
      </c>
    </row>
    <row r="30" spans="1:3" x14ac:dyDescent="0.2">
      <c r="A30" t="s">
        <v>777</v>
      </c>
      <c r="B30" s="240">
        <f>289999+10912.02</f>
        <v>300911.02</v>
      </c>
      <c r="C30" s="240">
        <f>152934.19+834.77</f>
        <v>153768.95999999999</v>
      </c>
    </row>
    <row r="31" spans="1:3" x14ac:dyDescent="0.2">
      <c r="A31" t="str">
        <f>IF(B27=B31,IF(C27=C31,"Check Total OK","Check Total Error"),"Check Total Error")</f>
        <v>Check Total OK</v>
      </c>
      <c r="B31" s="231">
        <f>SUM(B28:B30)</f>
        <v>1041823.79</v>
      </c>
      <c r="C31" s="231">
        <f>SUM(C28:C30)</f>
        <v>544497.53</v>
      </c>
    </row>
    <row r="33" spans="1:3" x14ac:dyDescent="0.2">
      <c r="B33" s="348" t="s">
        <v>779</v>
      </c>
      <c r="C33" s="348"/>
    </row>
    <row r="34" spans="1:3" x14ac:dyDescent="0.2">
      <c r="A34" s="239" t="s">
        <v>785</v>
      </c>
      <c r="B34" s="346" t="s">
        <v>705</v>
      </c>
      <c r="C34" s="347"/>
    </row>
    <row r="35" spans="1:3" x14ac:dyDescent="0.2">
      <c r="B35" s="228" t="s">
        <v>54</v>
      </c>
      <c r="C35" s="228" t="s">
        <v>772</v>
      </c>
    </row>
    <row r="36" spans="1:3" x14ac:dyDescent="0.2">
      <c r="A36" s="33" t="s">
        <v>773</v>
      </c>
      <c r="B36" s="235">
        <f>'DOE25'!F201+'DOE25'!F219+'DOE25'!F237+'DOE25'!F280+'DOE25'!F299+'DOE25'!F318</f>
        <v>498113.16</v>
      </c>
      <c r="C36" s="235">
        <f>'DOE25'!G201+'DOE25'!G219+'DOE25'!G237+'DOE25'!G280+'DOE25'!G299+'DOE25'!G318</f>
        <v>148702.44999999998</v>
      </c>
    </row>
    <row r="37" spans="1:3" x14ac:dyDescent="0.2">
      <c r="A37" t="s">
        <v>775</v>
      </c>
      <c r="B37" s="240">
        <v>26591.19</v>
      </c>
      <c r="C37" s="240">
        <v>7938.31</v>
      </c>
    </row>
    <row r="38" spans="1:3" x14ac:dyDescent="0.2">
      <c r="A38" t="s">
        <v>776</v>
      </c>
      <c r="B38" s="240">
        <v>0</v>
      </c>
      <c r="C38" s="240">
        <v>0</v>
      </c>
    </row>
    <row r="39" spans="1:3" x14ac:dyDescent="0.2">
      <c r="A39" t="s">
        <v>777</v>
      </c>
      <c r="B39" s="240">
        <v>471521.97</v>
      </c>
      <c r="C39" s="240">
        <v>140764.14000000001</v>
      </c>
    </row>
    <row r="40" spans="1:3" x14ac:dyDescent="0.2">
      <c r="A40" t="str">
        <f>IF(B36=B40,IF(C36=C40,"Check Total OK","Check Total Error"),"Check Total Error")</f>
        <v>Check Total OK</v>
      </c>
      <c r="B40" s="231">
        <f>SUM(B37:B39)</f>
        <v>498113.16</v>
      </c>
      <c r="C40" s="231">
        <f>SUM(C37:C39)</f>
        <v>148702.45000000001</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46" sqref="F4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8" t="s">
        <v>894</v>
      </c>
      <c r="B1" s="352"/>
      <c r="C1" s="352"/>
      <c r="D1" s="352"/>
      <c r="E1" s="352"/>
      <c r="F1" s="352"/>
      <c r="G1" s="352"/>
      <c r="H1" s="352"/>
      <c r="I1" s="181"/>
    </row>
    <row r="2" spans="1:9" x14ac:dyDescent="0.2">
      <c r="A2" s="33" t="s">
        <v>713</v>
      </c>
      <c r="B2" s="260" t="str">
        <f>'DOE25'!A2</f>
        <v>Salem School District</v>
      </c>
      <c r="C2" s="278"/>
      <c r="D2" s="181" t="s">
        <v>787</v>
      </c>
      <c r="E2" s="181" t="s">
        <v>789</v>
      </c>
      <c r="F2" s="350" t="s">
        <v>893</v>
      </c>
      <c r="G2" s="351"/>
      <c r="H2" s="351"/>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40238359.219999999</v>
      </c>
      <c r="D5" s="20">
        <f>SUM('DOE25'!L198:L201)+SUM('DOE25'!L216:L219)+SUM('DOE25'!L234:L237)-F5-G5-H5</f>
        <v>40100533.310000002</v>
      </c>
      <c r="E5" s="243"/>
      <c r="F5" s="244"/>
      <c r="G5" s="53">
        <f>SUM('DOE25'!J198:J201)+SUM('DOE25'!J216:J219)+SUM('DOE25'!J234:J237)</f>
        <v>114730.40000000001</v>
      </c>
      <c r="H5" s="53">
        <f>SUM('DOE25'!K198:K201)+SUM('DOE25'!K216:K219)+SUM('DOE25'!K234:K237)</f>
        <v>23095.510000000002</v>
      </c>
      <c r="I5" s="256"/>
    </row>
    <row r="6" spans="1:9" x14ac:dyDescent="0.2">
      <c r="A6" s="32">
        <v>2100</v>
      </c>
      <c r="B6" t="s">
        <v>796</v>
      </c>
      <c r="C6" s="276">
        <f t="shared" si="0"/>
        <v>5506718.0099999998</v>
      </c>
      <c r="D6" s="20">
        <f>'DOE25'!L203+'DOE25'!L221+'DOE25'!L239-F6-G6-H6</f>
        <v>5190789.01</v>
      </c>
      <c r="E6" s="243"/>
      <c r="F6" s="244">
        <f>340585-25000</f>
        <v>315585</v>
      </c>
      <c r="G6" s="53">
        <f>'DOE25'!J203+'DOE25'!J221+'DOE25'!J239</f>
        <v>0</v>
      </c>
      <c r="H6" s="53">
        <f>'DOE25'!K203+'DOE25'!K221+'DOE25'!K239</f>
        <v>344</v>
      </c>
      <c r="I6" s="256"/>
    </row>
    <row r="7" spans="1:9" x14ac:dyDescent="0.2">
      <c r="A7" s="32">
        <v>2200</v>
      </c>
      <c r="B7" t="s">
        <v>821</v>
      </c>
      <c r="C7" s="276">
        <f t="shared" si="0"/>
        <v>2439674.13</v>
      </c>
      <c r="D7" s="20">
        <f>'DOE25'!L204+'DOE25'!L222+'DOE25'!L240-F7-G7-H7</f>
        <v>2084901.15</v>
      </c>
      <c r="E7" s="243"/>
      <c r="F7" s="244"/>
      <c r="G7" s="53">
        <f>'DOE25'!J204+'DOE25'!J222+'DOE25'!J240</f>
        <v>354772.98</v>
      </c>
      <c r="H7" s="53">
        <f>'DOE25'!K204+'DOE25'!K222+'DOE25'!K240</f>
        <v>0</v>
      </c>
      <c r="I7" s="256"/>
    </row>
    <row r="8" spans="1:9" x14ac:dyDescent="0.2">
      <c r="A8" s="32">
        <v>2300</v>
      </c>
      <c r="B8" t="s">
        <v>797</v>
      </c>
      <c r="C8" s="276">
        <f t="shared" si="0"/>
        <v>441789.08</v>
      </c>
      <c r="D8" s="243"/>
      <c r="E8" s="20">
        <f>'DOE25'!L205+'DOE25'!L223+'DOE25'!L241-F8-G8-H8-D9-D11</f>
        <v>427600.73000000004</v>
      </c>
      <c r="F8" s="244"/>
      <c r="G8" s="53">
        <f>'DOE25'!J205+'DOE25'!J223+'DOE25'!J241</f>
        <v>0</v>
      </c>
      <c r="H8" s="53">
        <f>'DOE25'!K205+'DOE25'!K223+'DOE25'!K241</f>
        <v>14188.349999999999</v>
      </c>
      <c r="I8" s="256"/>
    </row>
    <row r="9" spans="1:9" ht="14.25" x14ac:dyDescent="0.2">
      <c r="A9" s="32">
        <v>2310</v>
      </c>
      <c r="B9" s="185" t="s">
        <v>890</v>
      </c>
      <c r="C9" s="276">
        <f t="shared" si="0"/>
        <v>19292.43</v>
      </c>
      <c r="D9" s="244">
        <v>19292.43</v>
      </c>
      <c r="E9" s="243"/>
      <c r="F9" s="253"/>
      <c r="G9" s="253"/>
      <c r="H9" s="253"/>
      <c r="I9" s="256"/>
    </row>
    <row r="10" spans="1:9" ht="14.25" x14ac:dyDescent="0.2">
      <c r="A10" s="32">
        <v>2317</v>
      </c>
      <c r="B10" s="185" t="s">
        <v>891</v>
      </c>
      <c r="C10" s="276">
        <f t="shared" si="0"/>
        <v>20750</v>
      </c>
      <c r="D10" s="243"/>
      <c r="E10" s="244">
        <v>20750</v>
      </c>
      <c r="F10" s="253"/>
      <c r="G10" s="253"/>
      <c r="H10" s="253"/>
      <c r="I10" s="256"/>
    </row>
    <row r="11" spans="1:9" ht="14.25" x14ac:dyDescent="0.2">
      <c r="A11" s="32">
        <v>2321</v>
      </c>
      <c r="B11" s="185" t="s">
        <v>892</v>
      </c>
      <c r="C11" s="276">
        <f t="shared" si="0"/>
        <v>490579.56</v>
      </c>
      <c r="D11" s="244">
        <v>490579.56</v>
      </c>
      <c r="E11" s="243"/>
      <c r="F11" s="253"/>
      <c r="G11" s="253"/>
      <c r="H11" s="253"/>
      <c r="I11" s="256"/>
    </row>
    <row r="12" spans="1:9" x14ac:dyDescent="0.2">
      <c r="A12" s="32">
        <v>2400</v>
      </c>
      <c r="B12" t="s">
        <v>711</v>
      </c>
      <c r="C12" s="276">
        <f t="shared" si="0"/>
        <v>3265027.9700000007</v>
      </c>
      <c r="D12" s="20">
        <f>'DOE25'!L206+'DOE25'!L224+'DOE25'!L242-F12-G12-H12</f>
        <v>3184627.5900000008</v>
      </c>
      <c r="E12" s="243"/>
      <c r="F12" s="244">
        <f>102377.38-25000</f>
        <v>77377.38</v>
      </c>
      <c r="G12" s="53">
        <f>'DOE25'!J206+'DOE25'!J224+'DOE25'!J242</f>
        <v>0</v>
      </c>
      <c r="H12" s="53">
        <f>'DOE25'!K206+'DOE25'!K224+'DOE25'!K242</f>
        <v>3023</v>
      </c>
      <c r="I12" s="256"/>
    </row>
    <row r="13" spans="1:9" x14ac:dyDescent="0.2">
      <c r="A13" s="32">
        <v>2500</v>
      </c>
      <c r="B13" t="s">
        <v>798</v>
      </c>
      <c r="C13" s="276">
        <f t="shared" si="0"/>
        <v>537677.61</v>
      </c>
      <c r="D13" s="243"/>
      <c r="E13" s="20">
        <f>'DOE25'!L207+'DOE25'!L225+'DOE25'!L243-F13-G13-H13</f>
        <v>442323.27999999997</v>
      </c>
      <c r="F13" s="244">
        <f>120354.33-25000</f>
        <v>95354.33</v>
      </c>
      <c r="G13" s="53">
        <f>'DOE25'!J207+'DOE25'!J225+'DOE25'!J243</f>
        <v>0</v>
      </c>
      <c r="H13" s="53">
        <f>'DOE25'!K207+'DOE25'!K225+'DOE25'!K243</f>
        <v>0</v>
      </c>
      <c r="I13" s="256"/>
    </row>
    <row r="14" spans="1:9" x14ac:dyDescent="0.2">
      <c r="A14" s="32">
        <v>2600</v>
      </c>
      <c r="B14" t="s">
        <v>819</v>
      </c>
      <c r="C14" s="276">
        <f t="shared" si="0"/>
        <v>4903967.6099999994</v>
      </c>
      <c r="D14" s="20">
        <f>'DOE25'!L208+'DOE25'!L226+'DOE25'!L244-F14-G14-H14</f>
        <v>4636426.17</v>
      </c>
      <c r="E14" s="243"/>
      <c r="F14" s="244">
        <f>125783.14-25000+95542-25000+60620.04-25000</f>
        <v>206945.18000000002</v>
      </c>
      <c r="G14" s="53">
        <f>'DOE25'!J208+'DOE25'!J226+'DOE25'!J244</f>
        <v>60596.260000000009</v>
      </c>
      <c r="H14" s="53">
        <f>'DOE25'!K208+'DOE25'!K226+'DOE25'!K244</f>
        <v>0</v>
      </c>
      <c r="I14" s="256"/>
    </row>
    <row r="15" spans="1:9" x14ac:dyDescent="0.2">
      <c r="A15" s="32">
        <v>2700</v>
      </c>
      <c r="B15" t="s">
        <v>799</v>
      </c>
      <c r="C15" s="276">
        <f t="shared" si="0"/>
        <v>2641191.9000000004</v>
      </c>
      <c r="D15" s="20">
        <f>'DOE25'!L209+'DOE25'!L227+'DOE25'!L245-F15-G15-H15</f>
        <v>194560.67000000039</v>
      </c>
      <c r="E15" s="243"/>
      <c r="F15" s="244">
        <f>1971906.29-25000+524724.94-25000</f>
        <v>2446631.23</v>
      </c>
      <c r="G15" s="53">
        <f>'DOE25'!J209+'DOE25'!J227+'DOE25'!J245</f>
        <v>0</v>
      </c>
      <c r="H15" s="53">
        <f>'DOE25'!K209+'DOE25'!K227+'DOE25'!K245</f>
        <v>0</v>
      </c>
      <c r="I15" s="256"/>
    </row>
    <row r="16" spans="1:9" x14ac:dyDescent="0.2">
      <c r="A16" s="32">
        <v>2800</v>
      </c>
      <c r="B16" t="s">
        <v>800</v>
      </c>
      <c r="C16" s="276">
        <f t="shared" si="0"/>
        <v>205458.40000000002</v>
      </c>
      <c r="D16" s="243"/>
      <c r="E16" s="20">
        <f>'DOE25'!L210+'DOE25'!L228+'DOE25'!L246-F16-G16-H16</f>
        <v>205458.40000000002</v>
      </c>
      <c r="F16" s="244"/>
      <c r="G16" s="53">
        <f>'DOE25'!J210+'DOE25'!J228+'DOE25'!J246</f>
        <v>0</v>
      </c>
      <c r="H16" s="53">
        <f>'DOE25'!K210+'DOE25'!K228+'DOE25'!K246</f>
        <v>0</v>
      </c>
      <c r="I16" s="256"/>
    </row>
    <row r="17" spans="1:9" x14ac:dyDescent="0.2">
      <c r="A17" s="32">
        <v>1600</v>
      </c>
      <c r="B17" t="s">
        <v>801</v>
      </c>
      <c r="C17" s="276">
        <f t="shared" si="0"/>
        <v>201036.48</v>
      </c>
      <c r="D17" s="20">
        <f>'DOE25'!L252-F17-G17-H17</f>
        <v>201036.48</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1731348.68</v>
      </c>
      <c r="D22" s="243"/>
      <c r="E22" s="243"/>
      <c r="F22" s="243"/>
      <c r="G22" s="53">
        <f>'DOE25'!L256+'DOE25'!L337</f>
        <v>1731348.68</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7362785.8300000001</v>
      </c>
      <c r="D25" s="243"/>
      <c r="E25" s="243"/>
      <c r="F25" s="255"/>
      <c r="G25" s="253"/>
      <c r="H25" s="253"/>
      <c r="I25" s="254">
        <f>'DOE25'!L261+'DOE25'!L262+'DOE25'!L342+'DOE25'!L343</f>
        <v>7362785.8300000001</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878202.55999999971</v>
      </c>
      <c r="D29" s="284">
        <f>'DOE25'!L359+'DOE25'!L360+'DOE25'!L361-'DOE25'!I368-F29-G29-H29</f>
        <v>870599.35999999975</v>
      </c>
      <c r="E29" s="243"/>
      <c r="F29" s="244"/>
      <c r="G29" s="53">
        <f>'DOE25'!J359+'DOE25'!J360+'DOE25'!J361</f>
        <v>7603.1999999999989</v>
      </c>
      <c r="H29" s="53">
        <f>'DOE25'!K359+'DOE25'!K360+'DOE25'!K361</f>
        <v>0</v>
      </c>
      <c r="I29" s="256"/>
    </row>
    <row r="30" spans="1:9" x14ac:dyDescent="0.2">
      <c r="A30" s="32"/>
      <c r="C30" s="277"/>
      <c r="D30" s="20"/>
      <c r="E30" s="281"/>
      <c r="F30" s="271"/>
      <c r="G30" s="53"/>
      <c r="H30" s="53"/>
      <c r="I30" s="256"/>
    </row>
    <row r="31" spans="1:9" x14ac:dyDescent="0.2">
      <c r="A31" s="32" t="s">
        <v>818</v>
      </c>
      <c r="B31" t="s">
        <v>817</v>
      </c>
      <c r="C31" s="276">
        <f>SUM(D31:I31)</f>
        <v>1851622.6500000001</v>
      </c>
      <c r="D31" s="20">
        <f>'DOE25'!L291+'DOE25'!L310+'DOE25'!L329+'DOE25'!L334+'DOE25'!L335+'DOE25'!L336-F31-G31-H31</f>
        <v>1822008.6400000001</v>
      </c>
      <c r="E31" s="243"/>
      <c r="F31" s="244"/>
      <c r="G31" s="53">
        <f>'DOE25'!J291+'DOE25'!J310+'DOE25'!J329+'DOE25'!J334+'DOE25'!J335+'DOE25'!J336</f>
        <v>14429.59</v>
      </c>
      <c r="H31" s="53">
        <f>'DOE25'!K291+'DOE25'!K310+'DOE25'!K329+'DOE25'!K334+'DOE25'!K335+'DOE25'!K336</f>
        <v>15184.42</v>
      </c>
      <c r="I31" s="256"/>
    </row>
    <row r="32" spans="1:9" ht="12" thickBot="1" x14ac:dyDescent="0.25">
      <c r="C32" s="277"/>
      <c r="G32" s="251"/>
      <c r="H32" s="251"/>
      <c r="I32" s="258"/>
    </row>
    <row r="33" spans="1:9" ht="12" thickTop="1" x14ac:dyDescent="0.2">
      <c r="B33" t="s">
        <v>809</v>
      </c>
      <c r="D33" s="245">
        <f t="shared" ref="D33:I33" si="1">SUM(D5:D31)</f>
        <v>58795354.370000005</v>
      </c>
      <c r="E33" s="245">
        <f t="shared" si="1"/>
        <v>1096132.4100000001</v>
      </c>
      <c r="F33" s="245">
        <f t="shared" si="1"/>
        <v>3141893.12</v>
      </c>
      <c r="G33" s="245">
        <f t="shared" si="1"/>
        <v>2283481.11</v>
      </c>
      <c r="H33" s="245">
        <f t="shared" si="1"/>
        <v>55835.28</v>
      </c>
      <c r="I33" s="245">
        <f t="shared" si="1"/>
        <v>7362785.8300000001</v>
      </c>
    </row>
    <row r="35" spans="1:9" ht="12" thickBot="1" x14ac:dyDescent="0.25">
      <c r="B35" s="251" t="s">
        <v>831</v>
      </c>
      <c r="D35" s="252">
        <f>E33</f>
        <v>1096132.4100000001</v>
      </c>
      <c r="E35" s="248"/>
    </row>
    <row r="36" spans="1:9" ht="12" thickTop="1" x14ac:dyDescent="0.2">
      <c r="B36" t="s">
        <v>810</v>
      </c>
      <c r="D36" s="20">
        <f>D33</f>
        <v>58795354.370000005</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3" t="s">
        <v>903</v>
      </c>
      <c r="C53" s="353"/>
      <c r="D53" s="353"/>
      <c r="E53" s="353"/>
      <c r="F53" s="353"/>
      <c r="G53" s="353"/>
      <c r="H53" s="353"/>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F46" sqref="F4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Salem School District</v>
      </c>
      <c r="B2" s="126">
        <f>'DOE25'!B2</f>
        <v>473</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25973582.52</v>
      </c>
      <c r="G4" s="303">
        <f>'DOE25'!L212+'DOE25'!L291</f>
        <v>25973582.52</v>
      </c>
      <c r="H4" s="337">
        <f>F4-G4</f>
        <v>0</v>
      </c>
      <c r="I4" s="309" t="str">
        <f>IF(H4=0,"","Does not match DOE25 page 7 and 11 Totals!!")</f>
        <v/>
      </c>
      <c r="N4"/>
    </row>
    <row r="5" spans="1:18" x14ac:dyDescent="0.2">
      <c r="A5" s="21" t="s">
        <v>1404</v>
      </c>
      <c r="B5" s="304">
        <f>IFERROR(VLOOKUP(A5,'School Tables'!$C$3:$D$365,2,FALSE),"")</f>
        <v>22865</v>
      </c>
      <c r="C5" s="297" t="str">
        <f>IFERROR(INDEX('School Tables'!$B$3:$B$365,MATCH('School Level Expenditures'!B5,'School Tables'!$D$3:$D$365,0)),"")</f>
        <v>Salem</v>
      </c>
      <c r="D5" s="342">
        <v>5691457.2029614598</v>
      </c>
      <c r="E5" s="342">
        <v>173027.0596720287</v>
      </c>
      <c r="F5" s="312">
        <f>D5+E5</f>
        <v>5864484.2626334885</v>
      </c>
      <c r="G5" s="297"/>
      <c r="H5" s="297"/>
      <c r="I5" s="126"/>
      <c r="N5"/>
    </row>
    <row r="6" spans="1:18" x14ac:dyDescent="0.2">
      <c r="A6" s="21" t="s">
        <v>1405</v>
      </c>
      <c r="B6" s="304">
        <f>IFERROR(VLOOKUP(A6,'School Tables'!$C$3:$D$365,2,FALSE),"")</f>
        <v>22875</v>
      </c>
      <c r="C6" s="297" t="str">
        <f>IFERROR(INDEX('School Tables'!$B$3:$B$365,MATCH('School Level Expenditures'!B6,'School Tables'!$D$3:$D$365,0)),"")</f>
        <v>Salem</v>
      </c>
      <c r="D6" s="342">
        <v>4611555.3047203366</v>
      </c>
      <c r="E6" s="342">
        <v>173073.71050922235</v>
      </c>
      <c r="F6" s="307">
        <f t="shared" ref="F6:F20" si="0">D6+E6</f>
        <v>4784629.0152295586</v>
      </c>
      <c r="G6" s="297"/>
      <c r="H6" s="297"/>
      <c r="I6" s="126"/>
      <c r="N6"/>
    </row>
    <row r="7" spans="1:18" x14ac:dyDescent="0.2">
      <c r="A7" s="21" t="s">
        <v>1403</v>
      </c>
      <c r="B7" s="304">
        <f>IFERROR(VLOOKUP(A7,'School Tables'!$C$3:$D$365,2,FALSE),"")</f>
        <v>22860</v>
      </c>
      <c r="C7" s="297" t="str">
        <f>IFERROR(INDEX('School Tables'!$B$3:$B$365,MATCH('School Level Expenditures'!B7,'School Tables'!$D$3:$D$365,0)),"")</f>
        <v>Salem</v>
      </c>
      <c r="D7" s="342">
        <v>4463426.0926083261</v>
      </c>
      <c r="E7" s="342">
        <v>156978.01344595398</v>
      </c>
      <c r="F7" s="307">
        <f t="shared" si="0"/>
        <v>4620404.10605428</v>
      </c>
      <c r="G7" s="297"/>
      <c r="H7" s="297"/>
      <c r="I7" s="126"/>
      <c r="N7"/>
    </row>
    <row r="8" spans="1:18" x14ac:dyDescent="0.2">
      <c r="A8" s="21" t="s">
        <v>1407</v>
      </c>
      <c r="B8" s="304">
        <f>IFERROR(VLOOKUP(A8,'School Tables'!$C$3:$D$365,2,FALSE),"")</f>
        <v>22890</v>
      </c>
      <c r="C8" s="297" t="str">
        <f>IFERROR(INDEX('School Tables'!$B$3:$B$365,MATCH('School Level Expenditures'!B8,'School Tables'!$D$3:$D$365,0)),"")</f>
        <v>Salem</v>
      </c>
      <c r="D8" s="342">
        <v>5614711.9559428031</v>
      </c>
      <c r="E8" s="342">
        <v>114360.08512650135</v>
      </c>
      <c r="F8" s="307">
        <f t="shared" si="0"/>
        <v>5729072.0410693046</v>
      </c>
      <c r="G8" s="297"/>
      <c r="H8" s="297"/>
      <c r="I8" s="126"/>
      <c r="N8"/>
    </row>
    <row r="9" spans="1:18" x14ac:dyDescent="0.2">
      <c r="A9" s="21" t="s">
        <v>1408</v>
      </c>
      <c r="B9" s="304">
        <f>IFERROR(VLOOKUP(A9,'School Tables'!$C$3:$D$365,2,FALSE),"")</f>
        <v>22895</v>
      </c>
      <c r="C9" s="297" t="str">
        <f>IFERROR(INDEX('School Tables'!$B$3:$B$365,MATCH('School Level Expenditures'!B9,'School Tables'!$D$3:$D$365,0)),"")</f>
        <v>Salem</v>
      </c>
      <c r="D9" s="342">
        <f>4196141.97481616+500</f>
        <v>4196641.9748161603</v>
      </c>
      <c r="E9" s="342">
        <f>243301.040347103-500</f>
        <v>242801.040347103</v>
      </c>
      <c r="F9" s="307">
        <f t="shared" si="0"/>
        <v>4439443.0151632633</v>
      </c>
      <c r="G9" s="297"/>
      <c r="H9" s="297"/>
      <c r="I9" s="126"/>
      <c r="N9"/>
    </row>
    <row r="10" spans="1:18" x14ac:dyDescent="0.2">
      <c r="A10" s="21" t="s">
        <v>1631</v>
      </c>
      <c r="B10" s="304">
        <f>IFERROR(VLOOKUP(A10,'School Tables'!$C$3:$D$365,2,FALSE),"")</f>
        <v>29225</v>
      </c>
      <c r="C10" s="297" t="str">
        <f>IFERROR(INDEX('School Tables'!$B$3:$B$365,MATCH('School Level Expenditures'!B10,'School Tables'!$D$3:$D$365,0)),"")</f>
        <v>Salem</v>
      </c>
      <c r="D10" s="342">
        <v>288031.35895091592</v>
      </c>
      <c r="E10" s="342">
        <v>31693.140899190381</v>
      </c>
      <c r="F10" s="307">
        <f t="shared" si="0"/>
        <v>319724.49985010631</v>
      </c>
      <c r="G10" s="297"/>
      <c r="H10" s="297"/>
      <c r="I10" s="126"/>
      <c r="N10"/>
    </row>
    <row r="11" spans="1:18" x14ac:dyDescent="0.2">
      <c r="A11" s="21" t="s">
        <v>1653</v>
      </c>
      <c r="B11" s="304">
        <f>IFERROR(VLOOKUP(A11,'School Tables'!$C$3:$D$365,2,FALSE),"")</f>
        <v>99999</v>
      </c>
      <c r="C11" s="297" t="str">
        <f>IFERROR(INDEX('School Tables'!$B$3:$B$365,MATCH('School Level Expenditures'!B11,'School Tables'!$D$3:$D$365,0)),"")</f>
        <v>Other District Expenditures</v>
      </c>
      <c r="D11" s="294">
        <v>215825.58</v>
      </c>
      <c r="E11" s="294"/>
      <c r="F11" s="307">
        <f t="shared" si="0"/>
        <v>215825.58</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13892323.920000002</v>
      </c>
      <c r="G24" s="303">
        <f>'DOE25'!L230+'DOE25'!L310</f>
        <v>13892323.920000002</v>
      </c>
      <c r="H24" s="337">
        <f>F24-G24</f>
        <v>0</v>
      </c>
      <c r="I24" s="309" t="str">
        <f>IF(H24=0,"","Does not match DOE25 page 8 and 12 Totals!!")</f>
        <v/>
      </c>
      <c r="N24"/>
    </row>
    <row r="25" spans="1:14" x14ac:dyDescent="0.2">
      <c r="A25" s="21" t="s">
        <v>1402</v>
      </c>
      <c r="B25" s="304">
        <f>IFERROR(VLOOKUP(A25,'School Tables'!$I$3:$J$80,2,FALSE),"")</f>
        <v>22850</v>
      </c>
      <c r="C25" s="297" t="str">
        <f t="array" ref="C25">IFERROR(INDEX('School Tables'!$H$3:$H$80,MATCH('School Level Expenditures'!B25,'School Tables'!$J$3:$J$80,0)),"")</f>
        <v>Salem</v>
      </c>
      <c r="D25" s="294">
        <f>13616963.71-66004.52</f>
        <v>13550959.190000001</v>
      </c>
      <c r="E25" s="294">
        <v>275360.21000000002</v>
      </c>
      <c r="F25" s="307">
        <f>D25+E25</f>
        <v>13826319.400000002</v>
      </c>
      <c r="G25" s="297"/>
      <c r="H25" s="297"/>
      <c r="I25" s="126"/>
      <c r="N25"/>
    </row>
    <row r="26" spans="1:14" x14ac:dyDescent="0.2">
      <c r="A26" s="21" t="s">
        <v>1653</v>
      </c>
      <c r="B26" s="304">
        <f>IFERROR(VLOOKUP(A26,'School Tables'!$I$3:$J$80,2,FALSE),"")</f>
        <v>99999</v>
      </c>
      <c r="C26" s="297" t="str">
        <f t="array" ref="C26">IFERROR(INDEX('School Tables'!$H$3:$H$80,MATCH('School Level Expenditures'!B26,'School Tables'!$J$3:$J$80,0)),"")</f>
        <v>Other District Expenditures</v>
      </c>
      <c r="D26" s="294">
        <v>66004.52</v>
      </c>
      <c r="E26" s="294"/>
      <c r="F26" s="307">
        <f t="shared" ref="F26:F32" si="1">D26+E26</f>
        <v>66004.52</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22535763.68</v>
      </c>
      <c r="G36" s="303">
        <f>'DOE25'!L248+'DOE25'!L329</f>
        <v>22535763.68</v>
      </c>
      <c r="H36" s="337">
        <f>F36-G36</f>
        <v>0</v>
      </c>
      <c r="I36" s="309" t="str">
        <f>IF(H36=0,"","Does not match DOE25 page 9 and 13 Totals!!")</f>
        <v/>
      </c>
      <c r="N36"/>
    </row>
    <row r="37" spans="1:14" x14ac:dyDescent="0.2">
      <c r="A37" s="21" t="s">
        <v>1406</v>
      </c>
      <c r="B37" s="304">
        <f>IFERROR(VLOOKUP(A37,'School Tables'!$O$3:$P$118,2,FALSE),"")</f>
        <v>22880</v>
      </c>
      <c r="C37" s="297" t="str">
        <f t="array" ref="C37">IFERROR(INDEX('School Tables'!$N$3:$N$118,MATCH('School Level Expenditures'!B37,'School Tables'!$P$3:$P$118,0)),"")</f>
        <v>Salem</v>
      </c>
      <c r="D37" s="294">
        <f>21979375.95-773696.14+11746.79</f>
        <v>21217426.599999998</v>
      </c>
      <c r="E37" s="294">
        <v>544640.93999999994</v>
      </c>
      <c r="F37" s="307">
        <f>D37+E37</f>
        <v>21762067.539999999</v>
      </c>
      <c r="G37" s="297"/>
      <c r="H37" s="297"/>
      <c r="I37" s="126"/>
      <c r="N37"/>
    </row>
    <row r="38" spans="1:14" x14ac:dyDescent="0.2">
      <c r="A38" s="21" t="s">
        <v>1652</v>
      </c>
      <c r="B38" s="304">
        <f>IFERROR(VLOOKUP(A38,'School Tables'!$O$3:$P$118,2,FALSE),"")</f>
        <v>99999</v>
      </c>
      <c r="C38" s="297" t="str">
        <f t="array" ref="C38">IFERROR(INDEX('School Tables'!$N$3:$N$118,MATCH('School Level Expenditures'!B38,'School Tables'!$P$3:$P$118,0)),"")</f>
        <v>Other District Expenditures</v>
      </c>
      <c r="D38" s="294">
        <v>773696.14</v>
      </c>
      <c r="E38" s="294"/>
      <c r="F38" s="307">
        <f t="shared" ref="F38:F41" si="2">D38+E38</f>
        <v>773696.14</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3"/>
      <c r="B58" s="353"/>
      <c r="C58" s="353"/>
      <c r="D58" s="353"/>
      <c r="E58" s="353"/>
      <c r="F58" s="353"/>
      <c r="G58" s="353"/>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15" activePane="bottomLeft" state="frozen"/>
      <selection activeCell="F46" sqref="F46"/>
      <selection pane="bottomLeft" activeCell="F46" sqref="F46"/>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Salem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3819520.51</v>
      </c>
      <c r="D8" s="95">
        <f>'DOE25'!G9</f>
        <v>2138.7800000000002</v>
      </c>
      <c r="E8" s="95">
        <f>'DOE25'!H9</f>
        <v>0</v>
      </c>
      <c r="F8" s="95">
        <f>'DOE25'!I9</f>
        <v>200756.12</v>
      </c>
      <c r="G8" s="95">
        <f>'DOE25'!J9</f>
        <v>0</v>
      </c>
      <c r="H8" s="124"/>
      <c r="I8" s="124"/>
    </row>
    <row r="9" spans="1:9" x14ac:dyDescent="0.2">
      <c r="A9" s="1" t="s">
        <v>140</v>
      </c>
      <c r="B9" s="6">
        <v>110</v>
      </c>
      <c r="C9" s="95">
        <f>'DOE25'!F10</f>
        <v>0</v>
      </c>
      <c r="D9" s="95">
        <f>'DOE25'!G10</f>
        <v>0</v>
      </c>
      <c r="E9" s="95">
        <f>'DOE25'!H10</f>
        <v>0</v>
      </c>
      <c r="F9" s="95">
        <f>'DOE25'!I10</f>
        <v>0</v>
      </c>
      <c r="G9" s="95">
        <f>'DOE25'!J10</f>
        <v>239207.94</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284595.36</v>
      </c>
      <c r="D11" s="95">
        <f>'DOE25'!G12</f>
        <v>247.47</v>
      </c>
      <c r="E11" s="95">
        <f>'DOE25'!H12</f>
        <v>140123.62</v>
      </c>
      <c r="F11" s="95">
        <f>'DOE25'!I12</f>
        <v>0</v>
      </c>
      <c r="G11" s="95">
        <f>'DOE25'!J12</f>
        <v>25574</v>
      </c>
      <c r="H11" s="124"/>
      <c r="I11" s="124"/>
    </row>
    <row r="12" spans="1:9" x14ac:dyDescent="0.2">
      <c r="A12" s="1" t="s">
        <v>143</v>
      </c>
      <c r="B12" s="6">
        <v>140</v>
      </c>
      <c r="C12" s="95">
        <f>'DOE25'!F13</f>
        <v>113517.9</v>
      </c>
      <c r="D12" s="95">
        <f>'DOE25'!G13</f>
        <v>62343.55</v>
      </c>
      <c r="E12" s="95">
        <f>'DOE25'!H13</f>
        <v>341387.06</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4217633.7699999996</v>
      </c>
      <c r="D18" s="41">
        <f>SUM(D8:D17)</f>
        <v>64729.8</v>
      </c>
      <c r="E18" s="41">
        <f>SUM(E8:E17)</f>
        <v>481510.68</v>
      </c>
      <c r="F18" s="41">
        <f>SUM(F8:F17)</f>
        <v>200756.12</v>
      </c>
      <c r="G18" s="41">
        <f>SUM(G8:G17)</f>
        <v>264781.94</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140371.09</v>
      </c>
      <c r="D21" s="95">
        <f>'DOE25'!G22</f>
        <v>0</v>
      </c>
      <c r="E21" s="95">
        <f>'DOE25'!H22</f>
        <v>284255.65999999997</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222409.34</v>
      </c>
      <c r="D23" s="95">
        <f>'DOE25'!G24</f>
        <v>357.16</v>
      </c>
      <c r="E23" s="95">
        <f>'DOE25'!H24</f>
        <v>6086.9</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182385.80999999997</v>
      </c>
      <c r="D28" s="95">
        <f>'DOE25'!G29</f>
        <v>2069.7600000000002</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545166.24</v>
      </c>
      <c r="D31" s="41">
        <f>SUM(D21:D30)</f>
        <v>2426.92</v>
      </c>
      <c r="E31" s="41">
        <f>SUM(E21:E30)</f>
        <v>290342.56</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1582816.55</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405054.79000000004</v>
      </c>
      <c r="D47" s="95">
        <f>'DOE25'!G48</f>
        <v>62302.880000000005</v>
      </c>
      <c r="E47" s="95">
        <f>'DOE25'!H48</f>
        <v>191168.12</v>
      </c>
      <c r="F47" s="95">
        <f>'DOE25'!I48</f>
        <v>197011.12</v>
      </c>
      <c r="G47" s="95">
        <f>'DOE25'!J48</f>
        <v>264781.94</v>
      </c>
      <c r="H47" s="124"/>
      <c r="I47" s="124"/>
    </row>
    <row r="48" spans="1:9" x14ac:dyDescent="0.2">
      <c r="A48" s="1" t="s">
        <v>882</v>
      </c>
      <c r="B48" s="6">
        <v>753</v>
      </c>
      <c r="C48" s="95">
        <f>'DOE25'!F49</f>
        <v>447291.45</v>
      </c>
      <c r="D48" s="95">
        <f>'DOE25'!G49</f>
        <v>0</v>
      </c>
      <c r="E48" s="95">
        <f>'DOE25'!H49</f>
        <v>0</v>
      </c>
      <c r="F48" s="95">
        <f>'DOE25'!I49</f>
        <v>3745</v>
      </c>
      <c r="G48" s="95">
        <f>'DOE25'!J49</f>
        <v>0</v>
      </c>
      <c r="H48" s="124"/>
      <c r="I48" s="124"/>
    </row>
    <row r="49" spans="1:9" ht="12" thickBot="1" x14ac:dyDescent="0.25">
      <c r="A49" s="29" t="s">
        <v>883</v>
      </c>
      <c r="B49" s="71">
        <v>770</v>
      </c>
      <c r="C49" s="95">
        <f>'DOE25'!F50</f>
        <v>1237304.7399999993</v>
      </c>
      <c r="D49" s="24" t="s">
        <v>288</v>
      </c>
      <c r="E49" s="24" t="s">
        <v>288</v>
      </c>
      <c r="F49" s="24" t="s">
        <v>288</v>
      </c>
      <c r="G49" s="24" t="s">
        <v>288</v>
      </c>
      <c r="H49" s="124"/>
      <c r="I49" s="124"/>
    </row>
    <row r="50" spans="1:9" ht="12.75" thickTop="1" thickBot="1" x14ac:dyDescent="0.25">
      <c r="A50" s="38" t="s">
        <v>884</v>
      </c>
      <c r="B50" s="48"/>
      <c r="C50" s="41">
        <f>SUM(C34:C49)</f>
        <v>3672467.5299999993</v>
      </c>
      <c r="D50" s="41">
        <f>SUM(D34:D49)</f>
        <v>62302.880000000005</v>
      </c>
      <c r="E50" s="41">
        <f>SUM(E34:E49)</f>
        <v>191168.12</v>
      </c>
      <c r="F50" s="41">
        <f>SUM(F34:F49)</f>
        <v>200756.12</v>
      </c>
      <c r="G50" s="41">
        <f>SUM(G34:G49)</f>
        <v>264781.94</v>
      </c>
      <c r="H50" s="124"/>
      <c r="I50" s="124"/>
    </row>
    <row r="51" spans="1:9" ht="12" thickTop="1" x14ac:dyDescent="0.2">
      <c r="A51" s="38" t="s">
        <v>885</v>
      </c>
      <c r="B51" s="2"/>
      <c r="C51" s="41">
        <f>C50+C31</f>
        <v>4217633.7699999996</v>
      </c>
      <c r="D51" s="41">
        <f>D50+D31</f>
        <v>64729.8</v>
      </c>
      <c r="E51" s="41">
        <f>E50+E31</f>
        <v>481510.68</v>
      </c>
      <c r="F51" s="41">
        <f>F50+F31</f>
        <v>200756.12</v>
      </c>
      <c r="G51" s="41">
        <f>G50+G31</f>
        <v>264781.94</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53395203</v>
      </c>
      <c r="D56" s="95">
        <f>'DOE25'!G60</f>
        <v>0</v>
      </c>
      <c r="E56" s="95">
        <f>'DOE25'!H60</f>
        <v>0</v>
      </c>
      <c r="F56" s="95">
        <f>'DOE25'!I60</f>
        <v>0</v>
      </c>
      <c r="G56" s="95">
        <f>'DOE25'!J60</f>
        <v>0</v>
      </c>
      <c r="H56"/>
      <c r="I56"/>
    </row>
    <row r="57" spans="1:9" x14ac:dyDescent="0.2">
      <c r="A57" s="1" t="s">
        <v>164</v>
      </c>
      <c r="B57" s="6" t="s">
        <v>165</v>
      </c>
      <c r="C57" s="95">
        <f>'DOE25'!F79</f>
        <v>540674.86</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1828.02</v>
      </c>
      <c r="D59" s="95">
        <f>'DOE25'!G96</f>
        <v>0</v>
      </c>
      <c r="E59" s="95">
        <f>'DOE25'!H96</f>
        <v>0</v>
      </c>
      <c r="F59" s="95">
        <f>'DOE25'!I96</f>
        <v>368.2</v>
      </c>
      <c r="G59" s="95">
        <f>'DOE25'!J96</f>
        <v>1224.92</v>
      </c>
      <c r="H59"/>
      <c r="I59"/>
    </row>
    <row r="60" spans="1:9" x14ac:dyDescent="0.2">
      <c r="A60" s="1" t="s">
        <v>170</v>
      </c>
      <c r="B60" s="118" t="s">
        <v>171</v>
      </c>
      <c r="C60" s="24" t="s">
        <v>288</v>
      </c>
      <c r="D60" s="95">
        <f>'DOE25'!G97</f>
        <v>820224.33</v>
      </c>
      <c r="E60" s="24" t="s">
        <v>288</v>
      </c>
      <c r="F60" s="24" t="s">
        <v>288</v>
      </c>
      <c r="G60" s="24" t="s">
        <v>288</v>
      </c>
      <c r="H60"/>
      <c r="I60"/>
    </row>
    <row r="61" spans="1:9" ht="12" thickBot="1" x14ac:dyDescent="0.25">
      <c r="A61" s="1" t="s">
        <v>172</v>
      </c>
      <c r="B61" s="118" t="s">
        <v>173</v>
      </c>
      <c r="C61" s="95">
        <f>SUM('DOE25'!F98:F110)</f>
        <v>237987.45</v>
      </c>
      <c r="D61" s="95">
        <f>SUM('DOE25'!G98:G110)</f>
        <v>0</v>
      </c>
      <c r="E61" s="95">
        <f>SUM('DOE25'!H98:H110)</f>
        <v>27241.32</v>
      </c>
      <c r="F61" s="95">
        <f>SUM('DOE25'!I98:I110)</f>
        <v>0</v>
      </c>
      <c r="G61" s="95">
        <f>SUM('DOE25'!J98:J110)</f>
        <v>25574</v>
      </c>
      <c r="H61"/>
      <c r="I61"/>
    </row>
    <row r="62" spans="1:9" ht="12.75" thickTop="1" thickBot="1" x14ac:dyDescent="0.25">
      <c r="A62" s="29" t="s">
        <v>174</v>
      </c>
      <c r="B62" s="6"/>
      <c r="C62" s="130">
        <f>SUM(C57:C61)</f>
        <v>780490.33000000007</v>
      </c>
      <c r="D62" s="130">
        <f>SUM(D57:D61)</f>
        <v>820224.33</v>
      </c>
      <c r="E62" s="130">
        <f>SUM(E57:E61)</f>
        <v>27241.32</v>
      </c>
      <c r="F62" s="130">
        <f>SUM(F57:F61)</f>
        <v>368.2</v>
      </c>
      <c r="G62" s="130">
        <f>SUM(G57:G61)</f>
        <v>26798.92</v>
      </c>
      <c r="H62"/>
      <c r="I62"/>
    </row>
    <row r="63" spans="1:9" ht="12" thickTop="1" x14ac:dyDescent="0.2">
      <c r="A63" s="29" t="s">
        <v>175</v>
      </c>
      <c r="B63" s="6"/>
      <c r="C63" s="22">
        <f>C56+C62</f>
        <v>54175693.329999998</v>
      </c>
      <c r="D63" s="22">
        <f>D56+D62</f>
        <v>820224.33</v>
      </c>
      <c r="E63" s="22">
        <f>E56+E62</f>
        <v>27241.32</v>
      </c>
      <c r="F63" s="22">
        <f>F56+F62</f>
        <v>368.2</v>
      </c>
      <c r="G63" s="22">
        <f>G56+G62</f>
        <v>26798.92</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4917713.18</v>
      </c>
      <c r="D66" s="24" t="s">
        <v>288</v>
      </c>
      <c r="E66" s="24" t="s">
        <v>288</v>
      </c>
      <c r="F66" s="24" t="s">
        <v>288</v>
      </c>
      <c r="G66" s="24" t="s">
        <v>288</v>
      </c>
      <c r="H66"/>
      <c r="I66"/>
    </row>
    <row r="67" spans="1:9" x14ac:dyDescent="0.2">
      <c r="A67" s="1" t="s">
        <v>770</v>
      </c>
      <c r="B67" s="6">
        <v>3112</v>
      </c>
      <c r="C67" s="95">
        <f>'DOE25'!F118</f>
        <v>9917459</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21538.7</v>
      </c>
      <c r="D69" s="95">
        <f>'DOE25'!G120</f>
        <v>0</v>
      </c>
      <c r="E69" s="95">
        <f>'DOE25'!H120</f>
        <v>0</v>
      </c>
      <c r="F69" s="95">
        <f>'DOE25'!I120</f>
        <v>0</v>
      </c>
      <c r="G69" s="95">
        <f>'DOE25'!J120</f>
        <v>0</v>
      </c>
      <c r="H69"/>
      <c r="I69"/>
    </row>
    <row r="70" spans="1:9" ht="12" thickTop="1" x14ac:dyDescent="0.2">
      <c r="A70" s="29" t="s">
        <v>252</v>
      </c>
      <c r="B70" s="2"/>
      <c r="C70" s="139">
        <f>SUM(C66:C69)</f>
        <v>14856710.879999999</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391537.86</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518535.72</v>
      </c>
      <c r="D75" s="24" t="s">
        <v>288</v>
      </c>
      <c r="E75" s="24" t="s">
        <v>288</v>
      </c>
      <c r="F75" s="24" t="s">
        <v>288</v>
      </c>
      <c r="G75" s="24" t="s">
        <v>288</v>
      </c>
      <c r="H75"/>
      <c r="I75"/>
    </row>
    <row r="76" spans="1:9" x14ac:dyDescent="0.2">
      <c r="A76" s="1" t="s">
        <v>257</v>
      </c>
      <c r="B76" s="6" t="s">
        <v>179</v>
      </c>
      <c r="C76" s="95">
        <f>SUM('DOE25'!F127:F130)</f>
        <v>409908.23</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12810.24</v>
      </c>
      <c r="E77" s="95">
        <f>SUM('DOE25'!H131:H135)</f>
        <v>0</v>
      </c>
      <c r="F77" s="95">
        <f>SUM('DOE25'!I131:I135)</f>
        <v>0</v>
      </c>
      <c r="G77" s="95">
        <f>SUM('DOE25'!J131:J135)</f>
        <v>0</v>
      </c>
      <c r="H77"/>
      <c r="I77"/>
    </row>
    <row r="78" spans="1:9" ht="12.75" thickTop="1" thickBot="1" x14ac:dyDescent="0.25">
      <c r="A78" s="29" t="s">
        <v>259</v>
      </c>
      <c r="B78" s="6"/>
      <c r="C78" s="130">
        <f>SUM(C72:C77)</f>
        <v>1319981.81</v>
      </c>
      <c r="D78" s="130">
        <f>SUM(D72:D77)</f>
        <v>12810.24</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16176692.689999999</v>
      </c>
      <c r="D81" s="130">
        <f>SUM(D79:D80)+D78+D70</f>
        <v>12810.24</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12184.06</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245380.11</v>
      </c>
      <c r="D88" s="341">
        <f>SUM('DOE25'!G153:G162)</f>
        <v>548939.56000000006</v>
      </c>
      <c r="E88" s="341">
        <f>SUM('DOE25'!H153:H162)</f>
        <v>1818536.6999999997</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257564.16999999998</v>
      </c>
      <c r="D91" s="131">
        <f>SUM(D85:D90)</f>
        <v>548939.56000000006</v>
      </c>
      <c r="E91" s="131">
        <f>SUM(E85:E90)</f>
        <v>1818536.6999999997</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0</v>
      </c>
    </row>
    <row r="97" spans="1:7" x14ac:dyDescent="0.2">
      <c r="A97" t="s">
        <v>754</v>
      </c>
      <c r="B97" s="32" t="s">
        <v>188</v>
      </c>
      <c r="C97" s="95">
        <f>SUM('DOE25'!F181:F182)</f>
        <v>12405.99</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12405.99</v>
      </c>
      <c r="D103" s="86">
        <f>SUM(D93:D102)</f>
        <v>0</v>
      </c>
      <c r="E103" s="86">
        <f>SUM(E93:E102)</f>
        <v>0</v>
      </c>
      <c r="F103" s="86">
        <f>SUM(F93:F102)</f>
        <v>0</v>
      </c>
      <c r="G103" s="86">
        <f>SUM(G93:G102)</f>
        <v>0</v>
      </c>
    </row>
    <row r="104" spans="1:7" ht="12.75" thickTop="1" thickBot="1" x14ac:dyDescent="0.25">
      <c r="A104" s="33" t="s">
        <v>761</v>
      </c>
      <c r="C104" s="86">
        <f>C63+C81+C91+C103</f>
        <v>70622356.179999992</v>
      </c>
      <c r="D104" s="86">
        <f>D63+D81+D91+D103</f>
        <v>1381974.13</v>
      </c>
      <c r="E104" s="86">
        <f>E63+E81+E91+E103</f>
        <v>1845778.0199999998</v>
      </c>
      <c r="F104" s="86">
        <f>F63+F81+F91+F103</f>
        <v>368.2</v>
      </c>
      <c r="G104" s="86">
        <f>G63+G81+G103</f>
        <v>26798.92</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27430505.699999999</v>
      </c>
      <c r="D109" s="24" t="s">
        <v>288</v>
      </c>
      <c r="E109" s="95">
        <f>('DOE25'!L277)+('DOE25'!L296)+('DOE25'!L315)</f>
        <v>335194.53999999998</v>
      </c>
      <c r="F109" s="24" t="s">
        <v>288</v>
      </c>
      <c r="G109" s="24" t="s">
        <v>288</v>
      </c>
    </row>
    <row r="110" spans="1:7" x14ac:dyDescent="0.2">
      <c r="A110" t="s">
        <v>198</v>
      </c>
      <c r="B110" s="32" t="s">
        <v>199</v>
      </c>
      <c r="C110" s="95">
        <f>('DOE25'!L199)+('DOE25'!L217)+('DOE25'!L235)</f>
        <v>10236386.93</v>
      </c>
      <c r="D110" s="24" t="s">
        <v>288</v>
      </c>
      <c r="E110" s="95">
        <f>('DOE25'!L278)+('DOE25'!L297)+('DOE25'!L316)</f>
        <v>488304.42000000004</v>
      </c>
      <c r="F110" s="24" t="s">
        <v>288</v>
      </c>
      <c r="G110" s="24" t="s">
        <v>288</v>
      </c>
    </row>
    <row r="111" spans="1:7" x14ac:dyDescent="0.2">
      <c r="A111" t="s">
        <v>200</v>
      </c>
      <c r="B111" s="32" t="s">
        <v>165</v>
      </c>
      <c r="C111" s="95">
        <f>('DOE25'!L200)+('DOE25'!L218)+('DOE25'!L236)</f>
        <v>1702166.73</v>
      </c>
      <c r="D111" s="24" t="s">
        <v>288</v>
      </c>
      <c r="E111" s="95">
        <f>('DOE25'!L279)+('DOE25'!L298)+('DOE25'!L317)</f>
        <v>104773.09</v>
      </c>
      <c r="F111" s="24" t="s">
        <v>288</v>
      </c>
      <c r="G111" s="24" t="s">
        <v>288</v>
      </c>
    </row>
    <row r="112" spans="1:7" x14ac:dyDescent="0.2">
      <c r="A112" t="s">
        <v>201</v>
      </c>
      <c r="B112" s="32" t="s">
        <v>167</v>
      </c>
      <c r="C112" s="95">
        <f>('DOE25'!L201)+('DOE25'!L219)+('DOE25'!L237)</f>
        <v>869299.8600000001</v>
      </c>
      <c r="D112" s="24" t="s">
        <v>288</v>
      </c>
      <c r="E112" s="95">
        <f>+('DOE25'!L280)+('DOE25'!L299)+('DOE25'!L318)</f>
        <v>37850.409999999996</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201036.48</v>
      </c>
      <c r="D114" s="24" t="s">
        <v>288</v>
      </c>
      <c r="E114" s="95">
        <f>+ SUM('DOE25'!L334:L336)</f>
        <v>139688.44999999998</v>
      </c>
      <c r="F114" s="24" t="s">
        <v>288</v>
      </c>
      <c r="G114" s="24" t="s">
        <v>288</v>
      </c>
    </row>
    <row r="115" spans="1:7" ht="12.75" thickTop="1" thickBot="1" x14ac:dyDescent="0.25">
      <c r="A115" s="33" t="s">
        <v>205</v>
      </c>
      <c r="C115" s="86">
        <f>SUM(C109:C114)</f>
        <v>40439395.699999988</v>
      </c>
      <c r="D115" s="86">
        <f>SUM(D109:D114)</f>
        <v>0</v>
      </c>
      <c r="E115" s="86">
        <f>SUM(E109:E114)</f>
        <v>1105810.9099999999</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5506718.0099999998</v>
      </c>
      <c r="D118" s="24" t="s">
        <v>288</v>
      </c>
      <c r="E118" s="95">
        <f>+('DOE25'!L282)+('DOE25'!L301)+('DOE25'!L320)</f>
        <v>384492.7</v>
      </c>
      <c r="F118" s="24" t="s">
        <v>288</v>
      </c>
      <c r="G118" s="24" t="s">
        <v>288</v>
      </c>
    </row>
    <row r="119" spans="1:7" x14ac:dyDescent="0.2">
      <c r="A119" t="s">
        <v>208</v>
      </c>
      <c r="B119" s="32" t="s">
        <v>209</v>
      </c>
      <c r="C119" s="95">
        <f>('DOE25'!L204)+('DOE25'!L222)+('DOE25'!L240)</f>
        <v>2439674.13</v>
      </c>
      <c r="D119" s="24" t="s">
        <v>288</v>
      </c>
      <c r="E119" s="95">
        <f>+('DOE25'!L283)+('DOE25'!L302)+('DOE25'!L321)</f>
        <v>268500.79000000004</v>
      </c>
      <c r="F119" s="24" t="s">
        <v>288</v>
      </c>
      <c r="G119" s="24" t="s">
        <v>288</v>
      </c>
    </row>
    <row r="120" spans="1:7" x14ac:dyDescent="0.2">
      <c r="A120" t="s">
        <v>210</v>
      </c>
      <c r="B120" s="32" t="s">
        <v>211</v>
      </c>
      <c r="C120" s="95">
        <f>('DOE25'!L205)+('DOE25'!L223)+('DOE25'!L241)</f>
        <v>951661.07000000007</v>
      </c>
      <c r="D120" s="24" t="s">
        <v>288</v>
      </c>
      <c r="E120" s="95">
        <f>+('DOE25'!L284)+('DOE25'!L303)+('DOE25'!L322)</f>
        <v>0</v>
      </c>
      <c r="F120" s="24" t="s">
        <v>288</v>
      </c>
      <c r="G120" s="24" t="s">
        <v>288</v>
      </c>
    </row>
    <row r="121" spans="1:7" x14ac:dyDescent="0.2">
      <c r="A121" t="s">
        <v>212</v>
      </c>
      <c r="B121" s="32" t="s">
        <v>213</v>
      </c>
      <c r="C121" s="95">
        <f>('DOE25'!L206)+('DOE25'!L224)+('DOE25'!L242)</f>
        <v>3265027.9700000007</v>
      </c>
      <c r="D121" s="24" t="s">
        <v>288</v>
      </c>
      <c r="E121" s="95">
        <f>+('DOE25'!L285)+('DOE25'!L304)+('DOE25'!L323)</f>
        <v>43191.71</v>
      </c>
      <c r="F121" s="24" t="s">
        <v>288</v>
      </c>
      <c r="G121" s="24" t="s">
        <v>288</v>
      </c>
    </row>
    <row r="122" spans="1:7" x14ac:dyDescent="0.2">
      <c r="A122" t="s">
        <v>214</v>
      </c>
      <c r="B122" s="32" t="s">
        <v>215</v>
      </c>
      <c r="C122" s="95">
        <f>('DOE25'!L207)+('DOE25'!L225)+('DOE25'!L243)</f>
        <v>537677.61</v>
      </c>
      <c r="D122" s="24" t="s">
        <v>288</v>
      </c>
      <c r="E122" s="95">
        <f>+('DOE25'!L286)+('DOE25'!L305)+('DOE25'!L324)</f>
        <v>471.13</v>
      </c>
      <c r="F122" s="24" t="s">
        <v>288</v>
      </c>
      <c r="G122" s="24" t="s">
        <v>288</v>
      </c>
    </row>
    <row r="123" spans="1:7" x14ac:dyDescent="0.2">
      <c r="A123" t="s">
        <v>216</v>
      </c>
      <c r="B123" s="32" t="s">
        <v>217</v>
      </c>
      <c r="C123" s="95">
        <f>('DOE25'!L208)+('DOE25'!L226)+('DOE25'!L244)</f>
        <v>4903967.6099999994</v>
      </c>
      <c r="D123" s="24" t="s">
        <v>288</v>
      </c>
      <c r="E123" s="95">
        <f>+('DOE25'!L287)+('DOE25'!L306)+('DOE25'!L325)</f>
        <v>0</v>
      </c>
      <c r="F123" s="24" t="s">
        <v>288</v>
      </c>
      <c r="G123" s="24" t="s">
        <v>288</v>
      </c>
    </row>
    <row r="124" spans="1:7" x14ac:dyDescent="0.2">
      <c r="A124" t="s">
        <v>218</v>
      </c>
      <c r="B124" s="32" t="s">
        <v>219</v>
      </c>
      <c r="C124" s="95">
        <f>('DOE25'!L209)+('DOE25'!L227)+('DOE25'!L245+'DOE25'!L255)</f>
        <v>2641191.9000000004</v>
      </c>
      <c r="D124" s="24" t="s">
        <v>288</v>
      </c>
      <c r="E124" s="95">
        <f>+('DOE25'!L288)+('DOE25'!L307)+('DOE25'!L326)</f>
        <v>49155.41</v>
      </c>
      <c r="F124" s="24" t="s">
        <v>288</v>
      </c>
      <c r="G124" s="24" t="s">
        <v>288</v>
      </c>
    </row>
    <row r="125" spans="1:7" x14ac:dyDescent="0.2">
      <c r="A125" t="s">
        <v>220</v>
      </c>
      <c r="B125" s="32" t="s">
        <v>221</v>
      </c>
      <c r="C125" s="95">
        <f>('DOE25'!L210)+('DOE25'!L228)+('DOE25'!L246)</f>
        <v>205458.40000000002</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1393401.4899999998</v>
      </c>
      <c r="E127" s="24" t="s">
        <v>288</v>
      </c>
      <c r="F127" s="24" t="s">
        <v>288</v>
      </c>
      <c r="G127" s="24" t="s">
        <v>288</v>
      </c>
    </row>
    <row r="128" spans="1:7" ht="12.75" thickTop="1" thickBot="1" x14ac:dyDescent="0.25">
      <c r="A128" s="33" t="s">
        <v>226</v>
      </c>
      <c r="C128" s="86">
        <f>SUM(C118:C127)</f>
        <v>20451376.699999996</v>
      </c>
      <c r="D128" s="86">
        <f>SUM(D118:D127)</f>
        <v>1393401.4899999998</v>
      </c>
      <c r="E128" s="86">
        <f>SUM(E118:E127)</f>
        <v>745811.74</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1731348.68</v>
      </c>
      <c r="D130" s="24" t="s">
        <v>288</v>
      </c>
      <c r="E130" s="129">
        <f>'DOE25'!L337</f>
        <v>0</v>
      </c>
      <c r="F130" s="129">
        <f>SUM('DOE25'!L375:'DOE25'!L381)</f>
        <v>197638.33000000002</v>
      </c>
      <c r="G130" s="24" t="s">
        <v>288</v>
      </c>
    </row>
    <row r="131" spans="1:7" x14ac:dyDescent="0.2">
      <c r="A131" t="s">
        <v>229</v>
      </c>
      <c r="B131" s="32">
        <v>5110</v>
      </c>
      <c r="C131" s="95">
        <f>'DOE25'!L261</f>
        <v>4910000</v>
      </c>
      <c r="D131" s="24" t="s">
        <v>288</v>
      </c>
      <c r="E131" s="129">
        <f>'DOE25'!L342</f>
        <v>0</v>
      </c>
      <c r="F131" s="24" t="s">
        <v>288</v>
      </c>
      <c r="G131" s="24" t="s">
        <v>288</v>
      </c>
    </row>
    <row r="132" spans="1:7" x14ac:dyDescent="0.2">
      <c r="A132" t="s">
        <v>230</v>
      </c>
      <c r="B132" s="32">
        <v>5120</v>
      </c>
      <c r="C132" s="95">
        <f>'DOE25'!L262</f>
        <v>2452785.83</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12405.990000000002</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10983.1</v>
      </c>
      <c r="D138" s="24" t="s">
        <v>288</v>
      </c>
      <c r="E138" s="24" t="s">
        <v>288</v>
      </c>
      <c r="F138" s="24" t="s">
        <v>288</v>
      </c>
      <c r="G138" s="24" t="s">
        <v>288</v>
      </c>
    </row>
    <row r="139" spans="1:7" x14ac:dyDescent="0.2">
      <c r="A139" t="s">
        <v>239</v>
      </c>
      <c r="B139" s="32">
        <v>5252</v>
      </c>
      <c r="C139" s="95">
        <f>'DOE25'!L402</f>
        <v>15815.82</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-26798.92</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9094134.5099999998</v>
      </c>
      <c r="D144" s="141">
        <f>SUM(D130:D143)</f>
        <v>0</v>
      </c>
      <c r="E144" s="141">
        <f>SUM(E130:E143)</f>
        <v>12405.990000000002</v>
      </c>
      <c r="F144" s="141">
        <f>SUM(F130:F143)</f>
        <v>197638.33000000002</v>
      </c>
      <c r="G144" s="141">
        <f>SUM(G130:G143)</f>
        <v>0</v>
      </c>
    </row>
    <row r="145" spans="1:9" ht="12.75" thickTop="1" thickBot="1" x14ac:dyDescent="0.25">
      <c r="A145" s="33" t="s">
        <v>244</v>
      </c>
      <c r="C145" s="86">
        <f>(C115+C128+C144)</f>
        <v>69984906.909999982</v>
      </c>
      <c r="D145" s="86">
        <f>(D115+D128+D144)</f>
        <v>1393401.4899999998</v>
      </c>
      <c r="E145" s="86">
        <f>(E115+E128+E144)</f>
        <v>1864028.64</v>
      </c>
      <c r="F145" s="86">
        <f>(F115+F128+F144)</f>
        <v>197638.33000000002</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16</v>
      </c>
      <c r="C151" s="153">
        <f>'DOE25'!G491</f>
        <v>16</v>
      </c>
      <c r="D151" s="153">
        <f>'DOE25'!H491</f>
        <v>20</v>
      </c>
      <c r="E151" s="153">
        <f>'DOE25'!I491</f>
        <v>20</v>
      </c>
      <c r="F151" s="153">
        <f>'DOE25'!J491</f>
        <v>20</v>
      </c>
      <c r="G151" s="24" t="s">
        <v>288</v>
      </c>
    </row>
    <row r="152" spans="1:9" x14ac:dyDescent="0.2">
      <c r="A152" s="136" t="s">
        <v>28</v>
      </c>
      <c r="B152" s="152" t="str">
        <f>'DOE25'!F492</f>
        <v>06/10</v>
      </c>
      <c r="C152" s="152" t="str">
        <f>'DOE25'!G492</f>
        <v>06/10</v>
      </c>
      <c r="D152" s="152" t="str">
        <f>'DOE25'!H492</f>
        <v>07/13</v>
      </c>
      <c r="E152" s="152" t="str">
        <f>'DOE25'!I492</f>
        <v>12/14</v>
      </c>
      <c r="F152" s="152" t="str">
        <f>'DOE25'!J492</f>
        <v>12/15_09/16</v>
      </c>
      <c r="G152" s="24" t="s">
        <v>288</v>
      </c>
    </row>
    <row r="153" spans="1:9" x14ac:dyDescent="0.2">
      <c r="A153" s="136" t="s">
        <v>29</v>
      </c>
      <c r="B153" s="152" t="str">
        <f>'DOE25'!F493</f>
        <v>09/26</v>
      </c>
      <c r="C153" s="152" t="str">
        <f>'DOE25'!G493</f>
        <v>08/26</v>
      </c>
      <c r="D153" s="152">
        <f>'DOE25'!H493</f>
        <v>0</v>
      </c>
      <c r="E153" s="152" t="str">
        <f>'DOE25'!I493</f>
        <v>11/34</v>
      </c>
      <c r="F153" s="152" t="str">
        <f>'DOE25'!J493</f>
        <v>06/36_09/36</v>
      </c>
      <c r="G153" s="24" t="s">
        <v>288</v>
      </c>
    </row>
    <row r="154" spans="1:9" x14ac:dyDescent="0.2">
      <c r="A154" s="136" t="s">
        <v>30</v>
      </c>
      <c r="B154" s="137">
        <f>'DOE25'!F494</f>
        <v>14506160</v>
      </c>
      <c r="C154" s="137">
        <f>'DOE25'!G494</f>
        <v>7493840</v>
      </c>
      <c r="D154" s="137">
        <f>'DOE25'!H494</f>
        <v>16205153</v>
      </c>
      <c r="E154" s="137">
        <f>'DOE25'!I494</f>
        <v>21817560</v>
      </c>
      <c r="F154" s="137">
        <f>'DOE25'!J494</f>
        <v>36863000</v>
      </c>
      <c r="G154" s="24" t="s">
        <v>288</v>
      </c>
    </row>
    <row r="155" spans="1:9" x14ac:dyDescent="0.2">
      <c r="A155" s="136" t="s">
        <v>31</v>
      </c>
      <c r="B155" s="137">
        <f>'DOE25'!F495</f>
        <v>5.39</v>
      </c>
      <c r="C155" s="137">
        <f>'DOE25'!G495</f>
        <v>3.51</v>
      </c>
      <c r="D155" s="137">
        <f>'DOE25'!H495</f>
        <v>3.58</v>
      </c>
      <c r="E155" s="137">
        <f>'DOE25'!I495</f>
        <v>3.21</v>
      </c>
      <c r="F155" s="137" t="str">
        <f>'DOE25'!J495</f>
        <v>various</v>
      </c>
      <c r="G155" s="24" t="s">
        <v>288</v>
      </c>
    </row>
    <row r="156" spans="1:9" x14ac:dyDescent="0.2">
      <c r="A156" s="22" t="s">
        <v>32</v>
      </c>
      <c r="B156" s="137">
        <f>'DOE25'!F496</f>
        <v>7240000</v>
      </c>
      <c r="C156" s="137">
        <f>'DOE25'!G496</f>
        <v>3480000</v>
      </c>
      <c r="D156" s="137">
        <f>'DOE25'!H496</f>
        <v>10800000</v>
      </c>
      <c r="E156" s="137">
        <f>'DOE25'!I496</f>
        <v>16000000</v>
      </c>
      <c r="F156" s="137">
        <f>'DOE25'!J496</f>
        <v>32100000</v>
      </c>
      <c r="G156" s="138">
        <f>SUM(B156:F156)</f>
        <v>69620000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905000</v>
      </c>
      <c r="C158" s="137">
        <f>'DOE25'!G498</f>
        <v>435000</v>
      </c>
      <c r="D158" s="137">
        <f>'DOE25'!H498</f>
        <v>720000</v>
      </c>
      <c r="E158" s="137">
        <f>'DOE25'!I498</f>
        <v>1000000</v>
      </c>
      <c r="F158" s="137">
        <f>'DOE25'!J498</f>
        <v>1850000</v>
      </c>
      <c r="G158" s="138">
        <f t="shared" si="0"/>
        <v>4910000</v>
      </c>
    </row>
    <row r="159" spans="1:9" x14ac:dyDescent="0.2">
      <c r="A159" s="22" t="s">
        <v>35</v>
      </c>
      <c r="B159" s="137">
        <f>'DOE25'!F499</f>
        <v>6335000</v>
      </c>
      <c r="C159" s="137">
        <f>'DOE25'!G499</f>
        <v>3045000</v>
      </c>
      <c r="D159" s="137">
        <f>'DOE25'!H499</f>
        <v>10080000</v>
      </c>
      <c r="E159" s="137">
        <f>'DOE25'!I499</f>
        <v>15000000</v>
      </c>
      <c r="F159" s="137">
        <f>'DOE25'!J499</f>
        <v>30250000</v>
      </c>
      <c r="G159" s="138">
        <f t="shared" si="0"/>
        <v>64710000</v>
      </c>
    </row>
    <row r="160" spans="1:9" x14ac:dyDescent="0.2">
      <c r="A160" s="22" t="s">
        <v>36</v>
      </c>
      <c r="B160" s="137">
        <f>'DOE25'!F500</f>
        <v>1195097.75</v>
      </c>
      <c r="C160" s="137">
        <f>'DOE25'!G500</f>
        <v>401630.75</v>
      </c>
      <c r="D160" s="137">
        <f>'DOE25'!H500</f>
        <v>3273000</v>
      </c>
      <c r="E160" s="137">
        <f>'DOE25'!I500</f>
        <v>4189375</v>
      </c>
      <c r="F160" s="137">
        <f>'DOE25'!J500</f>
        <v>7933550</v>
      </c>
      <c r="G160" s="138">
        <f t="shared" si="0"/>
        <v>16992653.5</v>
      </c>
    </row>
    <row r="161" spans="1:7" x14ac:dyDescent="0.2">
      <c r="A161" s="22" t="s">
        <v>37</v>
      </c>
      <c r="B161" s="137">
        <f>'DOE25'!F501</f>
        <v>7530097.75</v>
      </c>
      <c r="C161" s="137">
        <f>'DOE25'!G501</f>
        <v>3446630.75</v>
      </c>
      <c r="D161" s="137">
        <f>'DOE25'!H501</f>
        <v>13353000</v>
      </c>
      <c r="E161" s="137">
        <f>'DOE25'!I501</f>
        <v>19189375</v>
      </c>
      <c r="F161" s="137">
        <f>'DOE25'!J501</f>
        <v>38183550</v>
      </c>
      <c r="G161" s="138">
        <f t="shared" si="0"/>
        <v>81702653.5</v>
      </c>
    </row>
    <row r="162" spans="1:7" x14ac:dyDescent="0.2">
      <c r="A162" s="22" t="s">
        <v>38</v>
      </c>
      <c r="B162" s="137">
        <f>'DOE25'!F502</f>
        <v>905000</v>
      </c>
      <c r="C162" s="137">
        <f>'DOE25'!G502</f>
        <v>435000</v>
      </c>
      <c r="D162" s="137">
        <f>'DOE25'!H502</f>
        <v>720000</v>
      </c>
      <c r="E162" s="137">
        <f>'DOE25'!I502</f>
        <v>1000000</v>
      </c>
      <c r="F162" s="137">
        <f>'DOE25'!J502</f>
        <v>1850000</v>
      </c>
      <c r="G162" s="138">
        <f t="shared" si="0"/>
        <v>4910000</v>
      </c>
    </row>
    <row r="163" spans="1:7" x14ac:dyDescent="0.2">
      <c r="A163" s="22" t="s">
        <v>39</v>
      </c>
      <c r="B163" s="137">
        <f>'DOE25'!F503</f>
        <v>317066.75</v>
      </c>
      <c r="C163" s="137">
        <f>'DOE25'!G503</f>
        <v>140287.5</v>
      </c>
      <c r="D163" s="137">
        <f>'DOE25'!H503</f>
        <v>487620</v>
      </c>
      <c r="E163" s="137">
        <f>'DOE25'!I503</f>
        <v>591250</v>
      </c>
      <c r="F163" s="137">
        <f>'DOE25'!J503</f>
        <v>1039950</v>
      </c>
      <c r="G163" s="138">
        <f t="shared" si="0"/>
        <v>2576174.25</v>
      </c>
    </row>
    <row r="164" spans="1:7" x14ac:dyDescent="0.2">
      <c r="A164" s="22" t="s">
        <v>246</v>
      </c>
      <c r="B164" s="137">
        <f>'DOE25'!F504</f>
        <v>1222066.75</v>
      </c>
      <c r="C164" s="137">
        <f>'DOE25'!G504</f>
        <v>575287.5</v>
      </c>
      <c r="D164" s="137">
        <f>'DOE25'!H504</f>
        <v>1207620</v>
      </c>
      <c r="E164" s="137">
        <f>'DOE25'!I504</f>
        <v>1591250</v>
      </c>
      <c r="F164" s="137">
        <f>'DOE25'!J504</f>
        <v>2889950</v>
      </c>
      <c r="G164" s="138">
        <f t="shared" si="0"/>
        <v>7486174.25</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F46" sqref="F46"/>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4" t="s">
        <v>736</v>
      </c>
      <c r="B1" s="354"/>
      <c r="C1" s="354"/>
      <c r="D1" s="354"/>
    </row>
    <row r="2" spans="1:4" x14ac:dyDescent="0.2">
      <c r="A2" s="187" t="s">
        <v>713</v>
      </c>
      <c r="B2" s="186" t="str">
        <f>'DOE25'!A2</f>
        <v>Salem School District</v>
      </c>
    </row>
    <row r="3" spans="1:4" x14ac:dyDescent="0.2">
      <c r="B3" s="188" t="s">
        <v>1587</v>
      </c>
    </row>
    <row r="4" spans="1:4" x14ac:dyDescent="0.2">
      <c r="B4" t="s">
        <v>61</v>
      </c>
      <c r="C4" s="179">
        <f>IF('DOE25'!F666+'DOE25'!F671=0,0,ROUND('DOE25'!F673,0))</f>
        <v>16071</v>
      </c>
    </row>
    <row r="5" spans="1:4" x14ac:dyDescent="0.2">
      <c r="B5" t="s">
        <v>700</v>
      </c>
      <c r="C5" s="179">
        <f>IF('DOE25'!G666+'DOE25'!G671=0,0,ROUND('DOE25'!G673,0))</f>
        <v>16508</v>
      </c>
    </row>
    <row r="6" spans="1:4" x14ac:dyDescent="0.2">
      <c r="B6" t="s">
        <v>62</v>
      </c>
      <c r="C6" s="179">
        <f>IF('DOE25'!H666+'DOE25'!H671=0,0,ROUND('DOE25'!H673,0))</f>
        <v>17264</v>
      </c>
    </row>
    <row r="7" spans="1:4" x14ac:dyDescent="0.2">
      <c r="B7" t="s">
        <v>701</v>
      </c>
      <c r="C7" s="179">
        <f>IF('DOE25'!I666+'DOE25'!I671=0,0,ROUND('DOE25'!I673,0))</f>
        <v>16578</v>
      </c>
    </row>
    <row r="9" spans="1:4" x14ac:dyDescent="0.2">
      <c r="A9" s="187" t="s">
        <v>94</v>
      </c>
      <c r="B9" s="188" t="s">
        <v>1588</v>
      </c>
      <c r="C9" s="181" t="s">
        <v>720</v>
      </c>
      <c r="D9" s="181" t="s">
        <v>721</v>
      </c>
    </row>
    <row r="10" spans="1:4" x14ac:dyDescent="0.2">
      <c r="A10">
        <v>1100</v>
      </c>
      <c r="B10" t="s">
        <v>702</v>
      </c>
      <c r="C10" s="179">
        <f>ROUND('DOE25'!L198+'DOE25'!L216+'DOE25'!L234+'DOE25'!L277+'DOE25'!L296+'DOE25'!L315,0)</f>
        <v>27765700</v>
      </c>
      <c r="D10" s="182">
        <f>ROUND((C10/$C$28)*100,1)</f>
        <v>42.2</v>
      </c>
    </row>
    <row r="11" spans="1:4" x14ac:dyDescent="0.2">
      <c r="A11">
        <v>1200</v>
      </c>
      <c r="B11" t="s">
        <v>703</v>
      </c>
      <c r="C11" s="179">
        <f>ROUND('DOE25'!L199+'DOE25'!L217+'DOE25'!L235+'DOE25'!L278+'DOE25'!L297+'DOE25'!L316,0)</f>
        <v>10724691</v>
      </c>
      <c r="D11" s="182">
        <f>ROUND((C11/$C$28)*100,1)</f>
        <v>16.3</v>
      </c>
    </row>
    <row r="12" spans="1:4" x14ac:dyDescent="0.2">
      <c r="A12">
        <v>1300</v>
      </c>
      <c r="B12" t="s">
        <v>704</v>
      </c>
      <c r="C12" s="179">
        <f>ROUND('DOE25'!L200+'DOE25'!L218+'DOE25'!L236+'DOE25'!L279+'DOE25'!L298+'DOE25'!L317,0)</f>
        <v>1806940</v>
      </c>
      <c r="D12" s="182">
        <f>ROUND((C12/$C$28)*100,1)</f>
        <v>2.7</v>
      </c>
    </row>
    <row r="13" spans="1:4" x14ac:dyDescent="0.2">
      <c r="A13">
        <v>1400</v>
      </c>
      <c r="B13" t="s">
        <v>705</v>
      </c>
      <c r="C13" s="179">
        <f>ROUND('DOE25'!L201+'DOE25'!L219+'DOE25'!L237+'DOE25'!L280+'DOE25'!L299+'DOE25'!L318,0)</f>
        <v>907150</v>
      </c>
      <c r="D13" s="182">
        <f>ROUND((C13/$C$28)*100,1)</f>
        <v>1.4</v>
      </c>
    </row>
    <row r="14" spans="1:4" x14ac:dyDescent="0.2">
      <c r="D14" s="182"/>
    </row>
    <row r="15" spans="1:4" x14ac:dyDescent="0.2">
      <c r="A15">
        <v>2100</v>
      </c>
      <c r="B15" t="s">
        <v>706</v>
      </c>
      <c r="C15" s="179">
        <f>ROUND('DOE25'!L203+'DOE25'!L221+'DOE25'!L239+'DOE25'!L282+'DOE25'!L301+'DOE25'!L320,0)</f>
        <v>5891211</v>
      </c>
      <c r="D15" s="182">
        <f t="shared" ref="D15:D27" si="0">ROUND((C15/$C$28)*100,1)</f>
        <v>9</v>
      </c>
    </row>
    <row r="16" spans="1:4" x14ac:dyDescent="0.2">
      <c r="A16">
        <v>2200</v>
      </c>
      <c r="B16" t="s">
        <v>707</v>
      </c>
      <c r="C16" s="179">
        <f>ROUND('DOE25'!L204+'DOE25'!L222+'DOE25'!L240+'DOE25'!L283+'DOE25'!L302+'DOE25'!L321,0)</f>
        <v>2708175</v>
      </c>
      <c r="D16" s="182">
        <f t="shared" si="0"/>
        <v>4.0999999999999996</v>
      </c>
    </row>
    <row r="17" spans="1:4" x14ac:dyDescent="0.2">
      <c r="A17" s="183" t="s">
        <v>723</v>
      </c>
      <c r="B17" t="s">
        <v>738</v>
      </c>
      <c r="C17" s="179">
        <f>ROUND('DOE25'!L205+'DOE25'!L210+'DOE25'!L223+'DOE25'!L228+'DOE25'!L241+'DOE25'!L246+'DOE25'!L284+'DOE25'!L289+'DOE25'!L303+'DOE25'!L308+'DOE25'!L322+'DOE25'!L327,0)</f>
        <v>1157119</v>
      </c>
      <c r="D17" s="182">
        <f t="shared" si="0"/>
        <v>1.8</v>
      </c>
    </row>
    <row r="18" spans="1:4" x14ac:dyDescent="0.2">
      <c r="A18">
        <v>2400</v>
      </c>
      <c r="B18" t="s">
        <v>711</v>
      </c>
      <c r="C18" s="179">
        <f>ROUND('DOE25'!L206+'DOE25'!L224+'DOE25'!L242+'DOE25'!L285+'DOE25'!L304+'DOE25'!L323,0)</f>
        <v>3308220</v>
      </c>
      <c r="D18" s="182">
        <f t="shared" si="0"/>
        <v>5</v>
      </c>
    </row>
    <row r="19" spans="1:4" x14ac:dyDescent="0.2">
      <c r="A19">
        <v>2500</v>
      </c>
      <c r="B19" t="s">
        <v>708</v>
      </c>
      <c r="C19" s="179">
        <f>ROUND('DOE25'!L207+'DOE25'!L225+'DOE25'!L243+'DOE25'!L286+'DOE25'!L305+'DOE25'!L324,0)</f>
        <v>538149</v>
      </c>
      <c r="D19" s="182">
        <f t="shared" si="0"/>
        <v>0.8</v>
      </c>
    </row>
    <row r="20" spans="1:4" x14ac:dyDescent="0.2">
      <c r="A20">
        <v>2600</v>
      </c>
      <c r="B20" t="s">
        <v>709</v>
      </c>
      <c r="C20" s="179">
        <f>ROUND('DOE25'!L208+'DOE25'!L226+'DOE25'!L244+'DOE25'!L287+'DOE25'!L306+'DOE25'!L325,0)</f>
        <v>4903968</v>
      </c>
      <c r="D20" s="182">
        <f t="shared" si="0"/>
        <v>7.5</v>
      </c>
    </row>
    <row r="21" spans="1:4" x14ac:dyDescent="0.2">
      <c r="A21">
        <v>2700</v>
      </c>
      <c r="B21" t="s">
        <v>710</v>
      </c>
      <c r="C21" s="179">
        <f>ROUND('DOE25'!L209+'DOE25'!L227+'DOE25'!L245+'DOE25'!L288+'DOE25'!L307+'DOE25'!L326,0)</f>
        <v>2690347</v>
      </c>
      <c r="D21" s="182">
        <f t="shared" si="0"/>
        <v>4.0999999999999996</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340725</v>
      </c>
      <c r="D24" s="182">
        <f t="shared" si="0"/>
        <v>0.5</v>
      </c>
    </row>
    <row r="25" spans="1:4" x14ac:dyDescent="0.2">
      <c r="A25">
        <v>5120</v>
      </c>
      <c r="B25" t="s">
        <v>716</v>
      </c>
      <c r="C25" s="179">
        <f>ROUND('DOE25'!L262+'DOE25'!L343,0)</f>
        <v>2452786</v>
      </c>
      <c r="D25" s="182">
        <f t="shared" si="0"/>
        <v>3.7</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573176.67000000004</v>
      </c>
      <c r="D27" s="182">
        <f t="shared" si="0"/>
        <v>0.9</v>
      </c>
    </row>
    <row r="28" spans="1:4" x14ac:dyDescent="0.2">
      <c r="B28" s="187" t="s">
        <v>719</v>
      </c>
      <c r="C28" s="180">
        <f>SUM(C10:C27)</f>
        <v>65768357.670000002</v>
      </c>
      <c r="D28" s="184">
        <f>ROUND(SUM(D10:D27),0)</f>
        <v>100</v>
      </c>
    </row>
    <row r="29" spans="1:4" x14ac:dyDescent="0.2">
      <c r="A29">
        <v>4000</v>
      </c>
      <c r="B29" t="s">
        <v>724</v>
      </c>
      <c r="C29" s="179">
        <f>ROUND('DOE25'!L256+'DOE25'!L337+'DOE25'!L375+'DOE25'!L376+'DOE25'!L377+'DOE25'!L378+'DOE25'!L379+'DOE25'!L380+'DOE25'!L381,0)</f>
        <v>1928987</v>
      </c>
    </row>
    <row r="30" spans="1:4" x14ac:dyDescent="0.2">
      <c r="B30" s="187" t="s">
        <v>725</v>
      </c>
      <c r="C30" s="180">
        <f>SUM(C28:C29)</f>
        <v>67697344.670000002</v>
      </c>
    </row>
    <row r="31" spans="1:4" x14ac:dyDescent="0.2">
      <c r="B31" s="33"/>
      <c r="C31" s="180"/>
    </row>
    <row r="32" spans="1:4" x14ac:dyDescent="0.2">
      <c r="A32">
        <v>5100</v>
      </c>
      <c r="B32" s="33" t="s">
        <v>726</v>
      </c>
      <c r="C32" s="180">
        <f>ROUND('DOE25'!L261+'DOE25'!L342,0)</f>
        <v>4910000</v>
      </c>
    </row>
    <row r="34" spans="1:4" x14ac:dyDescent="0.2">
      <c r="A34" s="187" t="s">
        <v>94</v>
      </c>
      <c r="B34" s="188" t="s">
        <v>1589</v>
      </c>
      <c r="C34" s="181" t="s">
        <v>720</v>
      </c>
      <c r="D34" s="181" t="s">
        <v>721</v>
      </c>
    </row>
    <row r="35" spans="1:4" x14ac:dyDescent="0.2">
      <c r="A35">
        <v>1100</v>
      </c>
      <c r="B35" s="185" t="s">
        <v>727</v>
      </c>
      <c r="C35" s="179">
        <f>ROUND('DOE25'!F60+'DOE25'!G60+'DOE25'!H60+'DOE25'!I60+'DOE25'!J60,0)</f>
        <v>53395203</v>
      </c>
      <c r="D35" s="182">
        <f t="shared" ref="D35:D40" si="1">ROUND((C35/$C$41)*100,1)</f>
        <v>73.099999999999994</v>
      </c>
    </row>
    <row r="36" spans="1:4" x14ac:dyDescent="0.2">
      <c r="B36" s="185" t="s">
        <v>739</v>
      </c>
      <c r="C36" s="179">
        <f>SUM('DOE25'!F112:J112)-SUM('DOE25'!G97:G110)+('DOE25'!F175+'DOE25'!F176+'DOE25'!I175+'DOE25'!I176)-C35</f>
        <v>834898.77000000328</v>
      </c>
      <c r="D36" s="182">
        <f t="shared" si="1"/>
        <v>1.1000000000000001</v>
      </c>
    </row>
    <row r="37" spans="1:4" x14ac:dyDescent="0.2">
      <c r="A37" s="183" t="s">
        <v>835</v>
      </c>
      <c r="B37" s="185" t="s">
        <v>728</v>
      </c>
      <c r="C37" s="179">
        <f>ROUND('DOE25'!F117+'DOE25'!F118,0)</f>
        <v>14835172</v>
      </c>
      <c r="D37" s="182">
        <f t="shared" si="1"/>
        <v>20.3</v>
      </c>
    </row>
    <row r="38" spans="1:4" x14ac:dyDescent="0.2">
      <c r="A38" s="183" t="s">
        <v>734</v>
      </c>
      <c r="B38" s="185" t="s">
        <v>729</v>
      </c>
      <c r="C38" s="179">
        <f>ROUND(SUM('DOE25'!F140:J140)-SUM('DOE25'!F117:F119),0)</f>
        <v>1354331</v>
      </c>
      <c r="D38" s="182">
        <f t="shared" si="1"/>
        <v>1.9</v>
      </c>
    </row>
    <row r="39" spans="1:4" x14ac:dyDescent="0.2">
      <c r="A39">
        <v>4000</v>
      </c>
      <c r="B39" s="185" t="s">
        <v>730</v>
      </c>
      <c r="C39" s="179">
        <f>ROUND('DOE25'!F170+'DOE25'!G170+'DOE25'!H170+'DOE25'!I170,0)</f>
        <v>2625040</v>
      </c>
      <c r="D39" s="182">
        <f t="shared" si="1"/>
        <v>3.6</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73044644.770000011</v>
      </c>
      <c r="D41" s="184">
        <f>SUM(D35:D40)</f>
        <v>99.999999999999986</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46" sqref="C46:M46"/>
    </sheetView>
  </sheetViews>
  <sheetFormatPr defaultRowHeight="11.25" x14ac:dyDescent="0.2"/>
  <cols>
    <col min="1" max="1" width="10.33203125" customWidth="1"/>
    <col min="14" max="14" width="6.1640625" customWidth="1"/>
  </cols>
  <sheetData>
    <row r="1" spans="1:26" ht="16.5" thickTop="1" x14ac:dyDescent="0.25">
      <c r="A1" s="359" t="s">
        <v>766</v>
      </c>
      <c r="B1" s="360"/>
      <c r="C1" s="360"/>
      <c r="D1" s="360"/>
      <c r="E1" s="360"/>
      <c r="F1" s="360"/>
      <c r="G1" s="360"/>
      <c r="H1" s="360"/>
      <c r="I1" s="360"/>
      <c r="J1" s="213"/>
      <c r="K1" s="213"/>
      <c r="L1" s="213"/>
      <c r="M1" s="214"/>
    </row>
    <row r="2" spans="1:26" ht="12.75" x14ac:dyDescent="0.2">
      <c r="A2" s="365" t="s">
        <v>763</v>
      </c>
      <c r="B2" s="366"/>
      <c r="C2" s="366"/>
      <c r="D2" s="366"/>
      <c r="E2" s="366"/>
      <c r="F2" s="363" t="str">
        <f>'DOE25'!A2</f>
        <v>Salem School District</v>
      </c>
      <c r="G2" s="364"/>
      <c r="H2" s="364"/>
      <c r="I2" s="364"/>
      <c r="J2" s="52"/>
      <c r="K2" s="52"/>
      <c r="L2" s="52"/>
      <c r="M2" s="215"/>
    </row>
    <row r="3" spans="1:26" x14ac:dyDescent="0.2">
      <c r="A3" s="216" t="s">
        <v>764</v>
      </c>
      <c r="B3" s="217" t="s">
        <v>765</v>
      </c>
      <c r="C3" s="361" t="s">
        <v>767</v>
      </c>
      <c r="D3" s="361"/>
      <c r="E3" s="361"/>
      <c r="F3" s="361"/>
      <c r="G3" s="361"/>
      <c r="H3" s="361"/>
      <c r="I3" s="361"/>
      <c r="J3" s="361"/>
      <c r="K3" s="361"/>
      <c r="L3" s="361"/>
      <c r="M3" s="362"/>
    </row>
    <row r="4" spans="1:26" x14ac:dyDescent="0.2">
      <c r="A4" s="218"/>
      <c r="B4" s="219"/>
      <c r="C4" s="357"/>
      <c r="D4" s="357"/>
      <c r="E4" s="357"/>
      <c r="F4" s="357"/>
      <c r="G4" s="357"/>
      <c r="H4" s="357"/>
      <c r="I4" s="357"/>
      <c r="J4" s="357"/>
      <c r="K4" s="357"/>
      <c r="L4" s="357"/>
      <c r="M4" s="358"/>
      <c r="N4" s="126"/>
      <c r="O4" s="126"/>
      <c r="P4" s="126"/>
      <c r="Q4" s="126"/>
      <c r="R4" s="126"/>
      <c r="S4" s="126"/>
      <c r="T4" s="126"/>
      <c r="U4" s="126"/>
      <c r="V4" s="126"/>
      <c r="W4" s="126"/>
      <c r="X4" s="126"/>
      <c r="Y4" s="126"/>
      <c r="Z4" s="126"/>
    </row>
    <row r="5" spans="1:26" x14ac:dyDescent="0.2">
      <c r="A5" s="218"/>
      <c r="B5" s="219"/>
      <c r="C5" s="357"/>
      <c r="D5" s="357"/>
      <c r="E5" s="357"/>
      <c r="F5" s="357"/>
      <c r="G5" s="357"/>
      <c r="H5" s="357"/>
      <c r="I5" s="357"/>
      <c r="J5" s="357"/>
      <c r="K5" s="357"/>
      <c r="L5" s="357"/>
      <c r="M5" s="358"/>
      <c r="N5" s="126"/>
      <c r="O5" s="126"/>
      <c r="P5" s="126"/>
      <c r="Q5" s="126"/>
      <c r="R5" s="126"/>
      <c r="S5" s="126"/>
      <c r="T5" s="126"/>
      <c r="U5" s="126"/>
      <c r="V5" s="126"/>
      <c r="W5" s="126"/>
      <c r="X5" s="126"/>
      <c r="Y5" s="126"/>
      <c r="Z5" s="126"/>
    </row>
    <row r="6" spans="1:26" x14ac:dyDescent="0.2">
      <c r="A6" s="218"/>
      <c r="B6" s="219"/>
      <c r="C6" s="357"/>
      <c r="D6" s="357"/>
      <c r="E6" s="357"/>
      <c r="F6" s="357"/>
      <c r="G6" s="357"/>
      <c r="H6" s="357"/>
      <c r="I6" s="357"/>
      <c r="J6" s="357"/>
      <c r="K6" s="357"/>
      <c r="L6" s="357"/>
      <c r="M6" s="358"/>
      <c r="N6" s="126"/>
      <c r="O6" s="126"/>
      <c r="P6" s="126"/>
      <c r="Q6" s="126"/>
      <c r="R6" s="126"/>
      <c r="S6" s="126"/>
      <c r="T6" s="126"/>
      <c r="U6" s="126"/>
      <c r="V6" s="126"/>
      <c r="W6" s="126"/>
      <c r="X6" s="126"/>
      <c r="Y6" s="126"/>
      <c r="Z6" s="126"/>
    </row>
    <row r="7" spans="1:26" x14ac:dyDescent="0.2">
      <c r="A7" s="218"/>
      <c r="B7" s="219"/>
      <c r="C7" s="357"/>
      <c r="D7" s="357"/>
      <c r="E7" s="357"/>
      <c r="F7" s="357"/>
      <c r="G7" s="357"/>
      <c r="H7" s="357"/>
      <c r="I7" s="357"/>
      <c r="J7" s="357"/>
      <c r="K7" s="357"/>
      <c r="L7" s="357"/>
      <c r="M7" s="358"/>
      <c r="N7" s="126"/>
      <c r="O7" s="126"/>
      <c r="P7" s="126"/>
      <c r="Q7" s="126"/>
      <c r="R7" s="126"/>
      <c r="S7" s="126"/>
      <c r="T7" s="126"/>
      <c r="U7" s="126"/>
      <c r="V7" s="126"/>
      <c r="W7" s="126"/>
      <c r="X7" s="126"/>
      <c r="Y7" s="126"/>
      <c r="Z7" s="126"/>
    </row>
    <row r="8" spans="1:26" x14ac:dyDescent="0.2">
      <c r="A8" s="218"/>
      <c r="B8" s="219"/>
      <c r="C8" s="357"/>
      <c r="D8" s="357"/>
      <c r="E8" s="357"/>
      <c r="F8" s="357"/>
      <c r="G8" s="357"/>
      <c r="H8" s="357"/>
      <c r="I8" s="357"/>
      <c r="J8" s="357"/>
      <c r="K8" s="357"/>
      <c r="L8" s="357"/>
      <c r="M8" s="358"/>
      <c r="N8" s="126"/>
      <c r="O8" s="126"/>
      <c r="P8" s="126"/>
      <c r="Q8" s="126"/>
      <c r="R8" s="126"/>
      <c r="S8" s="126"/>
      <c r="T8" s="126"/>
      <c r="U8" s="126"/>
      <c r="V8" s="126"/>
      <c r="W8" s="126"/>
      <c r="X8" s="126"/>
      <c r="Y8" s="126"/>
      <c r="Z8" s="126"/>
    </row>
    <row r="9" spans="1:26" x14ac:dyDescent="0.2">
      <c r="A9" s="218"/>
      <c r="B9" s="219"/>
      <c r="C9" s="357"/>
      <c r="D9" s="357"/>
      <c r="E9" s="357"/>
      <c r="F9" s="357"/>
      <c r="G9" s="357"/>
      <c r="H9" s="357"/>
      <c r="I9" s="357"/>
      <c r="J9" s="357"/>
      <c r="K9" s="357"/>
      <c r="L9" s="357"/>
      <c r="M9" s="358"/>
      <c r="N9" s="126"/>
      <c r="O9" s="126"/>
      <c r="P9" s="126"/>
      <c r="Q9" s="126"/>
      <c r="R9" s="126"/>
      <c r="S9" s="126"/>
      <c r="T9" s="126"/>
      <c r="U9" s="126"/>
      <c r="V9" s="126"/>
      <c r="W9" s="126"/>
      <c r="X9" s="126"/>
      <c r="Y9" s="126"/>
      <c r="Z9" s="126"/>
    </row>
    <row r="10" spans="1:26" x14ac:dyDescent="0.2">
      <c r="A10" s="218"/>
      <c r="B10" s="219"/>
      <c r="C10" s="357"/>
      <c r="D10" s="357"/>
      <c r="E10" s="357"/>
      <c r="F10" s="357"/>
      <c r="G10" s="357"/>
      <c r="H10" s="357"/>
      <c r="I10" s="357"/>
      <c r="J10" s="357"/>
      <c r="K10" s="357"/>
      <c r="L10" s="357"/>
      <c r="M10" s="358"/>
      <c r="N10" s="126"/>
      <c r="O10" s="126"/>
      <c r="P10" s="126"/>
      <c r="Q10" s="126"/>
      <c r="R10" s="126"/>
      <c r="S10" s="126"/>
      <c r="T10" s="126"/>
      <c r="U10" s="126"/>
      <c r="V10" s="126"/>
      <c r="W10" s="126"/>
      <c r="X10" s="126"/>
      <c r="Y10" s="126"/>
      <c r="Z10" s="126"/>
    </row>
    <row r="11" spans="1:26" x14ac:dyDescent="0.2">
      <c r="A11" s="218"/>
      <c r="B11" s="219"/>
      <c r="C11" s="357"/>
      <c r="D11" s="357"/>
      <c r="E11" s="357"/>
      <c r="F11" s="357"/>
      <c r="G11" s="357"/>
      <c r="H11" s="357"/>
      <c r="I11" s="357"/>
      <c r="J11" s="357"/>
      <c r="K11" s="357"/>
      <c r="L11" s="357"/>
      <c r="M11" s="358"/>
      <c r="N11" s="126"/>
      <c r="O11" s="126"/>
      <c r="P11" s="126"/>
      <c r="Q11" s="126"/>
      <c r="R11" s="126"/>
      <c r="S11" s="126"/>
      <c r="T11" s="126"/>
      <c r="U11" s="126"/>
      <c r="V11" s="126"/>
      <c r="W11" s="126"/>
      <c r="X11" s="126"/>
      <c r="Y11" s="126"/>
      <c r="Z11" s="126"/>
    </row>
    <row r="12" spans="1:26" x14ac:dyDescent="0.2">
      <c r="A12" s="218"/>
      <c r="B12" s="219"/>
      <c r="C12" s="357"/>
      <c r="D12" s="357"/>
      <c r="E12" s="357"/>
      <c r="F12" s="357"/>
      <c r="G12" s="357"/>
      <c r="H12" s="357"/>
      <c r="I12" s="357"/>
      <c r="J12" s="357"/>
      <c r="K12" s="357"/>
      <c r="L12" s="357"/>
      <c r="M12" s="358"/>
      <c r="N12" s="126"/>
      <c r="O12" s="126"/>
      <c r="P12" s="126"/>
      <c r="Q12" s="126"/>
      <c r="R12" s="126"/>
      <c r="S12" s="126"/>
      <c r="T12" s="126"/>
      <c r="U12" s="126"/>
      <c r="V12" s="126"/>
      <c r="W12" s="126"/>
      <c r="X12" s="126"/>
      <c r="Y12" s="126"/>
      <c r="Z12" s="126"/>
    </row>
    <row r="13" spans="1:26" x14ac:dyDescent="0.2">
      <c r="A13" s="218"/>
      <c r="B13" s="219"/>
      <c r="C13" s="357"/>
      <c r="D13" s="357"/>
      <c r="E13" s="357"/>
      <c r="F13" s="357"/>
      <c r="G13" s="357"/>
      <c r="H13" s="357"/>
      <c r="I13" s="357"/>
      <c r="J13" s="357"/>
      <c r="K13" s="357"/>
      <c r="L13" s="357"/>
      <c r="M13" s="358"/>
      <c r="N13" s="126"/>
      <c r="O13" s="126"/>
      <c r="P13" s="126"/>
      <c r="Q13" s="126"/>
      <c r="R13" s="126"/>
      <c r="S13" s="126"/>
      <c r="T13" s="126"/>
      <c r="U13" s="126"/>
      <c r="V13" s="126"/>
      <c r="W13" s="126"/>
      <c r="X13" s="126"/>
      <c r="Y13" s="126"/>
      <c r="Z13" s="126"/>
    </row>
    <row r="14" spans="1:26" x14ac:dyDescent="0.2">
      <c r="A14" s="218"/>
      <c r="B14" s="219"/>
      <c r="C14" s="357"/>
      <c r="D14" s="357"/>
      <c r="E14" s="357"/>
      <c r="F14" s="357"/>
      <c r="G14" s="357"/>
      <c r="H14" s="357"/>
      <c r="I14" s="357"/>
      <c r="J14" s="357"/>
      <c r="K14" s="357"/>
      <c r="L14" s="357"/>
      <c r="M14" s="358"/>
      <c r="N14" s="126"/>
      <c r="O14" s="126"/>
      <c r="P14" s="126"/>
      <c r="Q14" s="126"/>
      <c r="R14" s="126"/>
      <c r="S14" s="126"/>
      <c r="T14" s="126"/>
      <c r="U14" s="126"/>
      <c r="V14" s="126"/>
      <c r="W14" s="126"/>
      <c r="X14" s="126"/>
      <c r="Y14" s="126"/>
      <c r="Z14" s="126"/>
    </row>
    <row r="15" spans="1:26" x14ac:dyDescent="0.2">
      <c r="A15" s="218"/>
      <c r="B15" s="219"/>
      <c r="C15" s="357"/>
      <c r="D15" s="357"/>
      <c r="E15" s="357"/>
      <c r="F15" s="357"/>
      <c r="G15" s="357"/>
      <c r="H15" s="357"/>
      <c r="I15" s="357"/>
      <c r="J15" s="357"/>
      <c r="K15" s="357"/>
      <c r="L15" s="357"/>
      <c r="M15" s="358"/>
      <c r="N15" s="126"/>
      <c r="O15" s="126"/>
      <c r="P15" s="126"/>
      <c r="Q15" s="126"/>
      <c r="R15" s="126"/>
      <c r="S15" s="126"/>
      <c r="T15" s="126"/>
      <c r="U15" s="126"/>
      <c r="V15" s="126"/>
      <c r="W15" s="126"/>
      <c r="X15" s="126"/>
      <c r="Y15" s="126"/>
      <c r="Z15" s="126"/>
    </row>
    <row r="16" spans="1:26" x14ac:dyDescent="0.2">
      <c r="A16" s="218"/>
      <c r="B16" s="219"/>
      <c r="C16" s="357"/>
      <c r="D16" s="357"/>
      <c r="E16" s="357"/>
      <c r="F16" s="357"/>
      <c r="G16" s="357"/>
      <c r="H16" s="357"/>
      <c r="I16" s="357"/>
      <c r="J16" s="357"/>
      <c r="K16" s="357"/>
      <c r="L16" s="357"/>
      <c r="M16" s="358"/>
      <c r="N16" s="126"/>
      <c r="O16" s="126"/>
      <c r="P16" s="126"/>
      <c r="Q16" s="126"/>
      <c r="R16" s="126"/>
      <c r="S16" s="126"/>
      <c r="T16" s="126"/>
      <c r="U16" s="126"/>
      <c r="V16" s="126"/>
      <c r="W16" s="126"/>
      <c r="X16" s="126"/>
      <c r="Y16" s="126"/>
      <c r="Z16" s="126"/>
    </row>
    <row r="17" spans="1:256" x14ac:dyDescent="0.2">
      <c r="A17" s="218"/>
      <c r="B17" s="219"/>
      <c r="C17" s="357"/>
      <c r="D17" s="357"/>
      <c r="E17" s="357"/>
      <c r="F17" s="357"/>
      <c r="G17" s="357"/>
      <c r="H17" s="357"/>
      <c r="I17" s="357"/>
      <c r="J17" s="357"/>
      <c r="K17" s="357"/>
      <c r="L17" s="357"/>
      <c r="M17" s="358"/>
      <c r="N17" s="126"/>
      <c r="O17" s="126"/>
      <c r="P17" s="126"/>
      <c r="Q17" s="126"/>
      <c r="R17" s="126"/>
      <c r="S17" s="126"/>
      <c r="T17" s="126"/>
      <c r="U17" s="126"/>
      <c r="V17" s="126"/>
      <c r="W17" s="126"/>
      <c r="X17" s="126"/>
      <c r="Y17" s="126"/>
      <c r="Z17" s="126"/>
    </row>
    <row r="18" spans="1:256" x14ac:dyDescent="0.2">
      <c r="A18" s="218"/>
      <c r="B18" s="219"/>
      <c r="C18" s="357"/>
      <c r="D18" s="357"/>
      <c r="E18" s="357"/>
      <c r="F18" s="357"/>
      <c r="G18" s="357"/>
      <c r="H18" s="357"/>
      <c r="I18" s="357"/>
      <c r="J18" s="357"/>
      <c r="K18" s="357"/>
      <c r="L18" s="357"/>
      <c r="M18" s="358"/>
      <c r="N18" s="126"/>
      <c r="O18" s="126"/>
      <c r="P18" s="126"/>
      <c r="Q18" s="126"/>
      <c r="R18" s="126"/>
      <c r="S18" s="126"/>
      <c r="T18" s="126"/>
      <c r="U18" s="126"/>
      <c r="V18" s="126"/>
      <c r="W18" s="126"/>
      <c r="X18" s="126"/>
      <c r="Y18" s="126"/>
      <c r="Z18" s="126"/>
    </row>
    <row r="19" spans="1:256" x14ac:dyDescent="0.2">
      <c r="A19" s="218"/>
      <c r="B19" s="219"/>
      <c r="C19" s="357"/>
      <c r="D19" s="357"/>
      <c r="E19" s="357"/>
      <c r="F19" s="357"/>
      <c r="G19" s="357"/>
      <c r="H19" s="357"/>
      <c r="I19" s="357"/>
      <c r="J19" s="357"/>
      <c r="K19" s="357"/>
      <c r="L19" s="357"/>
      <c r="M19" s="358"/>
      <c r="N19" s="126"/>
      <c r="O19" s="126"/>
      <c r="P19" s="126"/>
      <c r="Q19" s="126"/>
      <c r="R19" s="126"/>
      <c r="S19" s="126"/>
      <c r="T19" s="126"/>
      <c r="U19" s="126"/>
      <c r="V19" s="126"/>
      <c r="W19" s="126"/>
      <c r="X19" s="126"/>
      <c r="Y19" s="126"/>
      <c r="Z19" s="126"/>
    </row>
    <row r="20" spans="1:256" x14ac:dyDescent="0.2">
      <c r="A20" s="218"/>
      <c r="B20" s="219"/>
      <c r="C20" s="357"/>
      <c r="D20" s="357"/>
      <c r="E20" s="357"/>
      <c r="F20" s="357"/>
      <c r="G20" s="357"/>
      <c r="H20" s="357"/>
      <c r="I20" s="357"/>
      <c r="J20" s="357"/>
      <c r="K20" s="357"/>
      <c r="L20" s="357"/>
      <c r="M20" s="358"/>
      <c r="N20" s="126"/>
      <c r="O20" s="126"/>
      <c r="P20" s="126"/>
      <c r="Q20" s="126"/>
      <c r="R20" s="126"/>
      <c r="S20" s="126"/>
      <c r="T20" s="126"/>
      <c r="U20" s="126"/>
      <c r="V20" s="126"/>
      <c r="W20" s="126"/>
      <c r="X20" s="126"/>
      <c r="Y20" s="126"/>
      <c r="Z20" s="126"/>
    </row>
    <row r="21" spans="1:256" x14ac:dyDescent="0.2">
      <c r="A21" s="218"/>
      <c r="B21" s="219"/>
      <c r="C21" s="357"/>
      <c r="D21" s="357"/>
      <c r="E21" s="357"/>
      <c r="F21" s="357"/>
      <c r="G21" s="357"/>
      <c r="H21" s="357"/>
      <c r="I21" s="357"/>
      <c r="J21" s="357"/>
      <c r="K21" s="357"/>
      <c r="L21" s="357"/>
      <c r="M21" s="358"/>
      <c r="N21" s="126"/>
      <c r="O21" s="126"/>
      <c r="P21" s="126"/>
      <c r="Q21" s="126"/>
      <c r="R21" s="126"/>
      <c r="S21" s="126"/>
      <c r="T21" s="126"/>
      <c r="U21" s="126"/>
      <c r="V21" s="126"/>
      <c r="W21" s="126"/>
      <c r="X21" s="126"/>
      <c r="Y21" s="126"/>
      <c r="Z21" s="126"/>
    </row>
    <row r="22" spans="1:256" x14ac:dyDescent="0.2">
      <c r="A22" s="218"/>
      <c r="B22" s="219"/>
      <c r="C22" s="357"/>
      <c r="D22" s="357"/>
      <c r="E22" s="357"/>
      <c r="F22" s="357"/>
      <c r="G22" s="357"/>
      <c r="H22" s="357"/>
      <c r="I22" s="357"/>
      <c r="J22" s="357"/>
      <c r="K22" s="357"/>
      <c r="L22" s="357"/>
      <c r="M22" s="358"/>
      <c r="N22" s="126"/>
      <c r="O22" s="126"/>
      <c r="P22" s="126"/>
      <c r="Q22" s="126"/>
      <c r="R22" s="126"/>
      <c r="S22" s="126"/>
      <c r="T22" s="126"/>
      <c r="U22" s="126"/>
      <c r="V22" s="126"/>
      <c r="W22" s="126"/>
      <c r="X22" s="126"/>
      <c r="Y22" s="126"/>
      <c r="Z22" s="126"/>
    </row>
    <row r="23" spans="1:256" x14ac:dyDescent="0.2">
      <c r="A23" s="218"/>
      <c r="B23" s="219"/>
      <c r="C23" s="357"/>
      <c r="D23" s="357"/>
      <c r="E23" s="357"/>
      <c r="F23" s="357"/>
      <c r="G23" s="357"/>
      <c r="H23" s="357"/>
      <c r="I23" s="357"/>
      <c r="J23" s="357"/>
      <c r="K23" s="357"/>
      <c r="L23" s="357"/>
      <c r="M23" s="358"/>
      <c r="N23" s="126"/>
      <c r="O23" s="126"/>
      <c r="P23" s="126"/>
      <c r="Q23" s="126"/>
      <c r="R23" s="126"/>
      <c r="S23" s="126"/>
      <c r="T23" s="126"/>
      <c r="U23" s="126"/>
      <c r="V23" s="126"/>
      <c r="W23" s="126"/>
      <c r="X23" s="126"/>
      <c r="Y23" s="126"/>
      <c r="Z23" s="126"/>
    </row>
    <row r="24" spans="1:256" x14ac:dyDescent="0.2">
      <c r="A24" s="218"/>
      <c r="B24" s="219"/>
      <c r="C24" s="357"/>
      <c r="D24" s="357"/>
      <c r="E24" s="357"/>
      <c r="F24" s="357"/>
      <c r="G24" s="357"/>
      <c r="H24" s="357"/>
      <c r="I24" s="357"/>
      <c r="J24" s="357"/>
      <c r="K24" s="357"/>
      <c r="L24" s="357"/>
      <c r="M24" s="358"/>
      <c r="N24" s="126"/>
      <c r="O24" s="126"/>
      <c r="P24" s="126"/>
      <c r="Q24" s="126"/>
      <c r="R24" s="126"/>
      <c r="S24" s="126"/>
      <c r="T24" s="126"/>
      <c r="U24" s="126"/>
      <c r="V24" s="126"/>
      <c r="W24" s="126"/>
      <c r="X24" s="126"/>
      <c r="Y24" s="126"/>
      <c r="Z24" s="126"/>
    </row>
    <row r="25" spans="1:256" x14ac:dyDescent="0.2">
      <c r="A25" s="218"/>
      <c r="B25" s="219"/>
      <c r="C25" s="357"/>
      <c r="D25" s="357"/>
      <c r="E25" s="357"/>
      <c r="F25" s="357"/>
      <c r="G25" s="357"/>
      <c r="H25" s="357"/>
      <c r="I25" s="357"/>
      <c r="J25" s="357"/>
      <c r="K25" s="357"/>
      <c r="L25" s="357"/>
      <c r="M25" s="358"/>
      <c r="N25" s="126"/>
      <c r="O25" s="126"/>
      <c r="P25" s="126"/>
      <c r="Q25" s="126"/>
      <c r="R25" s="126"/>
      <c r="S25" s="126"/>
      <c r="T25" s="126"/>
      <c r="U25" s="126"/>
      <c r="V25" s="126"/>
      <c r="W25" s="126"/>
      <c r="X25" s="126"/>
      <c r="Y25" s="126"/>
      <c r="Z25" s="126"/>
    </row>
    <row r="26" spans="1:256" x14ac:dyDescent="0.2">
      <c r="A26" s="218"/>
      <c r="B26" s="219"/>
      <c r="C26" s="357"/>
      <c r="D26" s="357"/>
      <c r="E26" s="357"/>
      <c r="F26" s="357"/>
      <c r="G26" s="357"/>
      <c r="H26" s="357"/>
      <c r="I26" s="357"/>
      <c r="J26" s="357"/>
      <c r="K26" s="357"/>
      <c r="L26" s="357"/>
      <c r="M26" s="358"/>
      <c r="N26" s="126"/>
      <c r="O26" s="126"/>
      <c r="P26" s="126"/>
      <c r="Q26" s="126"/>
      <c r="R26" s="126"/>
      <c r="S26" s="126"/>
      <c r="T26" s="126"/>
      <c r="U26" s="126"/>
      <c r="V26" s="126"/>
      <c r="W26" s="126"/>
      <c r="X26" s="126"/>
      <c r="Y26" s="126"/>
      <c r="Z26" s="126"/>
    </row>
    <row r="27" spans="1:256" x14ac:dyDescent="0.2">
      <c r="A27" s="218"/>
      <c r="B27" s="219"/>
      <c r="C27" s="357"/>
      <c r="D27" s="357"/>
      <c r="E27" s="357"/>
      <c r="F27" s="357"/>
      <c r="G27" s="357"/>
      <c r="H27" s="357"/>
      <c r="I27" s="357"/>
      <c r="J27" s="357"/>
      <c r="K27" s="357"/>
      <c r="L27" s="357"/>
      <c r="M27" s="358"/>
      <c r="N27" s="126"/>
      <c r="O27" s="126"/>
      <c r="P27" s="126"/>
      <c r="Q27" s="126"/>
      <c r="R27" s="126"/>
      <c r="S27" s="126"/>
      <c r="T27" s="126"/>
      <c r="U27" s="126"/>
      <c r="V27" s="126"/>
      <c r="W27" s="126"/>
      <c r="X27" s="126"/>
      <c r="Y27" s="126"/>
      <c r="Z27" s="126"/>
    </row>
    <row r="28" spans="1:256" x14ac:dyDescent="0.2">
      <c r="A28" s="218"/>
      <c r="B28" s="219"/>
      <c r="C28" s="357"/>
      <c r="D28" s="357"/>
      <c r="E28" s="357"/>
      <c r="F28" s="357"/>
      <c r="G28" s="357"/>
      <c r="H28" s="357"/>
      <c r="I28" s="357"/>
      <c r="J28" s="357"/>
      <c r="K28" s="357"/>
      <c r="L28" s="357"/>
      <c r="M28" s="358"/>
      <c r="N28" s="126"/>
      <c r="O28" s="126"/>
      <c r="P28" s="126"/>
      <c r="Q28" s="126"/>
      <c r="R28" s="126"/>
      <c r="S28" s="126"/>
      <c r="T28" s="126"/>
      <c r="U28" s="126"/>
      <c r="V28" s="126"/>
      <c r="W28" s="126"/>
      <c r="X28" s="126"/>
      <c r="Y28" s="126"/>
      <c r="Z28" s="126"/>
    </row>
    <row r="29" spans="1:256" x14ac:dyDescent="0.2">
      <c r="A29" s="218"/>
      <c r="B29" s="219"/>
      <c r="C29" s="357"/>
      <c r="D29" s="357"/>
      <c r="E29" s="357"/>
      <c r="F29" s="357"/>
      <c r="G29" s="357"/>
      <c r="H29" s="357"/>
      <c r="I29" s="357"/>
      <c r="J29" s="357"/>
      <c r="K29" s="357"/>
      <c r="L29" s="357"/>
      <c r="M29" s="358"/>
      <c r="N29" s="211"/>
      <c r="O29" s="211"/>
      <c r="P29" s="356"/>
      <c r="Q29" s="356"/>
      <c r="R29" s="356"/>
      <c r="S29" s="356"/>
      <c r="T29" s="356"/>
      <c r="U29" s="356"/>
      <c r="V29" s="356"/>
      <c r="W29" s="356"/>
      <c r="X29" s="356"/>
      <c r="Y29" s="356"/>
      <c r="Z29" s="356"/>
      <c r="AA29" s="207"/>
      <c r="AB29" s="207"/>
      <c r="AC29" s="355"/>
      <c r="AD29" s="355"/>
      <c r="AE29" s="355"/>
      <c r="AF29" s="355"/>
      <c r="AG29" s="355"/>
      <c r="AH29" s="355"/>
      <c r="AI29" s="355"/>
      <c r="AJ29" s="355"/>
      <c r="AK29" s="355"/>
      <c r="AL29" s="355"/>
      <c r="AM29" s="355"/>
      <c r="AN29" s="207"/>
      <c r="AO29" s="207"/>
      <c r="AP29" s="355"/>
      <c r="AQ29" s="355"/>
      <c r="AR29" s="355"/>
      <c r="AS29" s="355"/>
      <c r="AT29" s="355"/>
      <c r="AU29" s="355"/>
      <c r="AV29" s="355"/>
      <c r="AW29" s="355"/>
      <c r="AX29" s="355"/>
      <c r="AY29" s="355"/>
      <c r="AZ29" s="355"/>
      <c r="BA29" s="207"/>
      <c r="BB29" s="207"/>
      <c r="BC29" s="355"/>
      <c r="BD29" s="355"/>
      <c r="BE29" s="355"/>
      <c r="BF29" s="355"/>
      <c r="BG29" s="355"/>
      <c r="BH29" s="355"/>
      <c r="BI29" s="355"/>
      <c r="BJ29" s="355"/>
      <c r="BK29" s="355"/>
      <c r="BL29" s="355"/>
      <c r="BM29" s="355"/>
      <c r="BN29" s="207"/>
      <c r="BO29" s="207"/>
      <c r="BP29" s="355"/>
      <c r="BQ29" s="355"/>
      <c r="BR29" s="355"/>
      <c r="BS29" s="355"/>
      <c r="BT29" s="355"/>
      <c r="BU29" s="355"/>
      <c r="BV29" s="355"/>
      <c r="BW29" s="355"/>
      <c r="BX29" s="355"/>
      <c r="BY29" s="355"/>
      <c r="BZ29" s="355"/>
      <c r="CA29" s="207"/>
      <c r="CB29" s="207"/>
      <c r="CC29" s="355"/>
      <c r="CD29" s="355"/>
      <c r="CE29" s="355"/>
      <c r="CF29" s="355"/>
      <c r="CG29" s="355"/>
      <c r="CH29" s="355"/>
      <c r="CI29" s="355"/>
      <c r="CJ29" s="355"/>
      <c r="CK29" s="355"/>
      <c r="CL29" s="355"/>
      <c r="CM29" s="355"/>
      <c r="CN29" s="207"/>
      <c r="CO29" s="207"/>
      <c r="CP29" s="355"/>
      <c r="CQ29" s="355"/>
      <c r="CR29" s="355"/>
      <c r="CS29" s="355"/>
      <c r="CT29" s="355"/>
      <c r="CU29" s="355"/>
      <c r="CV29" s="355"/>
      <c r="CW29" s="355"/>
      <c r="CX29" s="355"/>
      <c r="CY29" s="355"/>
      <c r="CZ29" s="355"/>
      <c r="DA29" s="207"/>
      <c r="DB29" s="207"/>
      <c r="DC29" s="355"/>
      <c r="DD29" s="355"/>
      <c r="DE29" s="355"/>
      <c r="DF29" s="355"/>
      <c r="DG29" s="355"/>
      <c r="DH29" s="355"/>
      <c r="DI29" s="355"/>
      <c r="DJ29" s="355"/>
      <c r="DK29" s="355"/>
      <c r="DL29" s="355"/>
      <c r="DM29" s="355"/>
      <c r="DN29" s="207"/>
      <c r="DO29" s="207"/>
      <c r="DP29" s="355"/>
      <c r="DQ29" s="355"/>
      <c r="DR29" s="355"/>
      <c r="DS29" s="355"/>
      <c r="DT29" s="355"/>
      <c r="DU29" s="355"/>
      <c r="DV29" s="355"/>
      <c r="DW29" s="355"/>
      <c r="DX29" s="355"/>
      <c r="DY29" s="355"/>
      <c r="DZ29" s="355"/>
      <c r="EA29" s="207"/>
      <c r="EB29" s="207"/>
      <c r="EC29" s="355"/>
      <c r="ED29" s="355"/>
      <c r="EE29" s="355"/>
      <c r="EF29" s="355"/>
      <c r="EG29" s="355"/>
      <c r="EH29" s="355"/>
      <c r="EI29" s="355"/>
      <c r="EJ29" s="355"/>
      <c r="EK29" s="355"/>
      <c r="EL29" s="355"/>
      <c r="EM29" s="355"/>
      <c r="EN29" s="207"/>
      <c r="EO29" s="207"/>
      <c r="EP29" s="355"/>
      <c r="EQ29" s="355"/>
      <c r="ER29" s="355"/>
      <c r="ES29" s="355"/>
      <c r="ET29" s="355"/>
      <c r="EU29" s="355"/>
      <c r="EV29" s="355"/>
      <c r="EW29" s="355"/>
      <c r="EX29" s="355"/>
      <c r="EY29" s="355"/>
      <c r="EZ29" s="355"/>
      <c r="FA29" s="207"/>
      <c r="FB29" s="207"/>
      <c r="FC29" s="355"/>
      <c r="FD29" s="355"/>
      <c r="FE29" s="355"/>
      <c r="FF29" s="355"/>
      <c r="FG29" s="355"/>
      <c r="FH29" s="355"/>
      <c r="FI29" s="355"/>
      <c r="FJ29" s="355"/>
      <c r="FK29" s="355"/>
      <c r="FL29" s="355"/>
      <c r="FM29" s="355"/>
      <c r="FN29" s="207"/>
      <c r="FO29" s="207"/>
      <c r="FP29" s="355"/>
      <c r="FQ29" s="355"/>
      <c r="FR29" s="355"/>
      <c r="FS29" s="355"/>
      <c r="FT29" s="355"/>
      <c r="FU29" s="355"/>
      <c r="FV29" s="355"/>
      <c r="FW29" s="355"/>
      <c r="FX29" s="355"/>
      <c r="FY29" s="355"/>
      <c r="FZ29" s="355"/>
      <c r="GA29" s="207"/>
      <c r="GB29" s="207"/>
      <c r="GC29" s="355"/>
      <c r="GD29" s="355"/>
      <c r="GE29" s="355"/>
      <c r="GF29" s="355"/>
      <c r="GG29" s="355"/>
      <c r="GH29" s="355"/>
      <c r="GI29" s="355"/>
      <c r="GJ29" s="355"/>
      <c r="GK29" s="355"/>
      <c r="GL29" s="355"/>
      <c r="GM29" s="355"/>
      <c r="GN29" s="207"/>
      <c r="GO29" s="207"/>
      <c r="GP29" s="355"/>
      <c r="GQ29" s="355"/>
      <c r="GR29" s="355"/>
      <c r="GS29" s="355"/>
      <c r="GT29" s="355"/>
      <c r="GU29" s="355"/>
      <c r="GV29" s="355"/>
      <c r="GW29" s="355"/>
      <c r="GX29" s="355"/>
      <c r="GY29" s="355"/>
      <c r="GZ29" s="355"/>
      <c r="HA29" s="207"/>
      <c r="HB29" s="207"/>
      <c r="HC29" s="355"/>
      <c r="HD29" s="355"/>
      <c r="HE29" s="355"/>
      <c r="HF29" s="355"/>
      <c r="HG29" s="355"/>
      <c r="HH29" s="355"/>
      <c r="HI29" s="355"/>
      <c r="HJ29" s="355"/>
      <c r="HK29" s="355"/>
      <c r="HL29" s="355"/>
      <c r="HM29" s="355"/>
      <c r="HN29" s="207"/>
      <c r="HO29" s="207"/>
      <c r="HP29" s="355"/>
      <c r="HQ29" s="355"/>
      <c r="HR29" s="355"/>
      <c r="HS29" s="355"/>
      <c r="HT29" s="355"/>
      <c r="HU29" s="355"/>
      <c r="HV29" s="355"/>
      <c r="HW29" s="355"/>
      <c r="HX29" s="355"/>
      <c r="HY29" s="355"/>
      <c r="HZ29" s="355"/>
      <c r="IA29" s="207"/>
      <c r="IB29" s="207"/>
      <c r="IC29" s="355"/>
      <c r="ID29" s="355"/>
      <c r="IE29" s="355"/>
      <c r="IF29" s="355"/>
      <c r="IG29" s="355"/>
      <c r="IH29" s="355"/>
      <c r="II29" s="355"/>
      <c r="IJ29" s="355"/>
      <c r="IK29" s="355"/>
      <c r="IL29" s="355"/>
      <c r="IM29" s="355"/>
      <c r="IN29" s="207"/>
      <c r="IO29" s="207"/>
      <c r="IP29" s="355"/>
      <c r="IQ29" s="355"/>
      <c r="IR29" s="355"/>
      <c r="IS29" s="355"/>
      <c r="IT29" s="355"/>
      <c r="IU29" s="355"/>
      <c r="IV29" s="355"/>
    </row>
    <row r="30" spans="1:256" x14ac:dyDescent="0.2">
      <c r="A30" s="218"/>
      <c r="B30" s="219"/>
      <c r="C30" s="357"/>
      <c r="D30" s="357"/>
      <c r="E30" s="357"/>
      <c r="F30" s="357"/>
      <c r="G30" s="357"/>
      <c r="H30" s="357"/>
      <c r="I30" s="357"/>
      <c r="J30" s="357"/>
      <c r="K30" s="357"/>
      <c r="L30" s="357"/>
      <c r="M30" s="358"/>
      <c r="N30" s="211"/>
      <c r="O30" s="211"/>
      <c r="P30" s="356"/>
      <c r="Q30" s="356"/>
      <c r="R30" s="356"/>
      <c r="S30" s="356"/>
      <c r="T30" s="356"/>
      <c r="U30" s="356"/>
      <c r="V30" s="356"/>
      <c r="W30" s="356"/>
      <c r="X30" s="356"/>
      <c r="Y30" s="356"/>
      <c r="Z30" s="356"/>
      <c r="AA30" s="207"/>
      <c r="AB30" s="207"/>
      <c r="AC30" s="355"/>
      <c r="AD30" s="355"/>
      <c r="AE30" s="355"/>
      <c r="AF30" s="355"/>
      <c r="AG30" s="355"/>
      <c r="AH30" s="355"/>
      <c r="AI30" s="355"/>
      <c r="AJ30" s="355"/>
      <c r="AK30" s="355"/>
      <c r="AL30" s="355"/>
      <c r="AM30" s="355"/>
      <c r="AN30" s="207"/>
      <c r="AO30" s="207"/>
      <c r="AP30" s="355"/>
      <c r="AQ30" s="355"/>
      <c r="AR30" s="355"/>
      <c r="AS30" s="355"/>
      <c r="AT30" s="355"/>
      <c r="AU30" s="355"/>
      <c r="AV30" s="355"/>
      <c r="AW30" s="355"/>
      <c r="AX30" s="355"/>
      <c r="AY30" s="355"/>
      <c r="AZ30" s="355"/>
      <c r="BA30" s="207"/>
      <c r="BB30" s="207"/>
      <c r="BC30" s="355"/>
      <c r="BD30" s="355"/>
      <c r="BE30" s="355"/>
      <c r="BF30" s="355"/>
      <c r="BG30" s="355"/>
      <c r="BH30" s="355"/>
      <c r="BI30" s="355"/>
      <c r="BJ30" s="355"/>
      <c r="BK30" s="355"/>
      <c r="BL30" s="355"/>
      <c r="BM30" s="355"/>
      <c r="BN30" s="207"/>
      <c r="BO30" s="207"/>
      <c r="BP30" s="355"/>
      <c r="BQ30" s="355"/>
      <c r="BR30" s="355"/>
      <c r="BS30" s="355"/>
      <c r="BT30" s="355"/>
      <c r="BU30" s="355"/>
      <c r="BV30" s="355"/>
      <c r="BW30" s="355"/>
      <c r="BX30" s="355"/>
      <c r="BY30" s="355"/>
      <c r="BZ30" s="355"/>
      <c r="CA30" s="207"/>
      <c r="CB30" s="207"/>
      <c r="CC30" s="355"/>
      <c r="CD30" s="355"/>
      <c r="CE30" s="355"/>
      <c r="CF30" s="355"/>
      <c r="CG30" s="355"/>
      <c r="CH30" s="355"/>
      <c r="CI30" s="355"/>
      <c r="CJ30" s="355"/>
      <c r="CK30" s="355"/>
      <c r="CL30" s="355"/>
      <c r="CM30" s="355"/>
      <c r="CN30" s="207"/>
      <c r="CO30" s="207"/>
      <c r="CP30" s="355"/>
      <c r="CQ30" s="355"/>
      <c r="CR30" s="355"/>
      <c r="CS30" s="355"/>
      <c r="CT30" s="355"/>
      <c r="CU30" s="355"/>
      <c r="CV30" s="355"/>
      <c r="CW30" s="355"/>
      <c r="CX30" s="355"/>
      <c r="CY30" s="355"/>
      <c r="CZ30" s="355"/>
      <c r="DA30" s="207"/>
      <c r="DB30" s="207"/>
      <c r="DC30" s="355"/>
      <c r="DD30" s="355"/>
      <c r="DE30" s="355"/>
      <c r="DF30" s="355"/>
      <c r="DG30" s="355"/>
      <c r="DH30" s="355"/>
      <c r="DI30" s="355"/>
      <c r="DJ30" s="355"/>
      <c r="DK30" s="355"/>
      <c r="DL30" s="355"/>
      <c r="DM30" s="355"/>
      <c r="DN30" s="207"/>
      <c r="DO30" s="207"/>
      <c r="DP30" s="355"/>
      <c r="DQ30" s="355"/>
      <c r="DR30" s="355"/>
      <c r="DS30" s="355"/>
      <c r="DT30" s="355"/>
      <c r="DU30" s="355"/>
      <c r="DV30" s="355"/>
      <c r="DW30" s="355"/>
      <c r="DX30" s="355"/>
      <c r="DY30" s="355"/>
      <c r="DZ30" s="355"/>
      <c r="EA30" s="207"/>
      <c r="EB30" s="207"/>
      <c r="EC30" s="355"/>
      <c r="ED30" s="355"/>
      <c r="EE30" s="355"/>
      <c r="EF30" s="355"/>
      <c r="EG30" s="355"/>
      <c r="EH30" s="355"/>
      <c r="EI30" s="355"/>
      <c r="EJ30" s="355"/>
      <c r="EK30" s="355"/>
      <c r="EL30" s="355"/>
      <c r="EM30" s="355"/>
      <c r="EN30" s="207"/>
      <c r="EO30" s="207"/>
      <c r="EP30" s="355"/>
      <c r="EQ30" s="355"/>
      <c r="ER30" s="355"/>
      <c r="ES30" s="355"/>
      <c r="ET30" s="355"/>
      <c r="EU30" s="355"/>
      <c r="EV30" s="355"/>
      <c r="EW30" s="355"/>
      <c r="EX30" s="355"/>
      <c r="EY30" s="355"/>
      <c r="EZ30" s="355"/>
      <c r="FA30" s="207"/>
      <c r="FB30" s="207"/>
      <c r="FC30" s="355"/>
      <c r="FD30" s="355"/>
      <c r="FE30" s="355"/>
      <c r="FF30" s="355"/>
      <c r="FG30" s="355"/>
      <c r="FH30" s="355"/>
      <c r="FI30" s="355"/>
      <c r="FJ30" s="355"/>
      <c r="FK30" s="355"/>
      <c r="FL30" s="355"/>
      <c r="FM30" s="355"/>
      <c r="FN30" s="207"/>
      <c r="FO30" s="207"/>
      <c r="FP30" s="355"/>
      <c r="FQ30" s="355"/>
      <c r="FR30" s="355"/>
      <c r="FS30" s="355"/>
      <c r="FT30" s="355"/>
      <c r="FU30" s="355"/>
      <c r="FV30" s="355"/>
      <c r="FW30" s="355"/>
      <c r="FX30" s="355"/>
      <c r="FY30" s="355"/>
      <c r="FZ30" s="355"/>
      <c r="GA30" s="207"/>
      <c r="GB30" s="207"/>
      <c r="GC30" s="355"/>
      <c r="GD30" s="355"/>
      <c r="GE30" s="355"/>
      <c r="GF30" s="355"/>
      <c r="GG30" s="355"/>
      <c r="GH30" s="355"/>
      <c r="GI30" s="355"/>
      <c r="GJ30" s="355"/>
      <c r="GK30" s="355"/>
      <c r="GL30" s="355"/>
      <c r="GM30" s="355"/>
      <c r="GN30" s="207"/>
      <c r="GO30" s="207"/>
      <c r="GP30" s="355"/>
      <c r="GQ30" s="355"/>
      <c r="GR30" s="355"/>
      <c r="GS30" s="355"/>
      <c r="GT30" s="355"/>
      <c r="GU30" s="355"/>
      <c r="GV30" s="355"/>
      <c r="GW30" s="355"/>
      <c r="GX30" s="355"/>
      <c r="GY30" s="355"/>
      <c r="GZ30" s="355"/>
      <c r="HA30" s="207"/>
      <c r="HB30" s="207"/>
      <c r="HC30" s="355"/>
      <c r="HD30" s="355"/>
      <c r="HE30" s="355"/>
      <c r="HF30" s="355"/>
      <c r="HG30" s="355"/>
      <c r="HH30" s="355"/>
      <c r="HI30" s="355"/>
      <c r="HJ30" s="355"/>
      <c r="HK30" s="355"/>
      <c r="HL30" s="355"/>
      <c r="HM30" s="355"/>
      <c r="HN30" s="207"/>
      <c r="HO30" s="207"/>
      <c r="HP30" s="355"/>
      <c r="HQ30" s="355"/>
      <c r="HR30" s="355"/>
      <c r="HS30" s="355"/>
      <c r="HT30" s="355"/>
      <c r="HU30" s="355"/>
      <c r="HV30" s="355"/>
      <c r="HW30" s="355"/>
      <c r="HX30" s="355"/>
      <c r="HY30" s="355"/>
      <c r="HZ30" s="355"/>
      <c r="IA30" s="207"/>
      <c r="IB30" s="207"/>
      <c r="IC30" s="355"/>
      <c r="ID30" s="355"/>
      <c r="IE30" s="355"/>
      <c r="IF30" s="355"/>
      <c r="IG30" s="355"/>
      <c r="IH30" s="355"/>
      <c r="II30" s="355"/>
      <c r="IJ30" s="355"/>
      <c r="IK30" s="355"/>
      <c r="IL30" s="355"/>
      <c r="IM30" s="355"/>
      <c r="IN30" s="207"/>
      <c r="IO30" s="207"/>
      <c r="IP30" s="355"/>
      <c r="IQ30" s="355"/>
      <c r="IR30" s="355"/>
      <c r="IS30" s="355"/>
      <c r="IT30" s="355"/>
      <c r="IU30" s="355"/>
      <c r="IV30" s="355"/>
    </row>
    <row r="31" spans="1:256" x14ac:dyDescent="0.2">
      <c r="A31" s="218"/>
      <c r="B31" s="219"/>
      <c r="C31" s="357"/>
      <c r="D31" s="357"/>
      <c r="E31" s="357"/>
      <c r="F31" s="357"/>
      <c r="G31" s="357"/>
      <c r="H31" s="357"/>
      <c r="I31" s="357"/>
      <c r="J31" s="357"/>
      <c r="K31" s="357"/>
      <c r="L31" s="357"/>
      <c r="M31" s="358"/>
      <c r="N31" s="211"/>
      <c r="O31" s="211"/>
      <c r="P31" s="356"/>
      <c r="Q31" s="356"/>
      <c r="R31" s="356"/>
      <c r="S31" s="356"/>
      <c r="T31" s="356"/>
      <c r="U31" s="356"/>
      <c r="V31" s="356"/>
      <c r="W31" s="356"/>
      <c r="X31" s="356"/>
      <c r="Y31" s="356"/>
      <c r="Z31" s="356"/>
      <c r="AA31" s="207"/>
      <c r="AB31" s="207"/>
      <c r="AC31" s="355"/>
      <c r="AD31" s="355"/>
      <c r="AE31" s="355"/>
      <c r="AF31" s="355"/>
      <c r="AG31" s="355"/>
      <c r="AH31" s="355"/>
      <c r="AI31" s="355"/>
      <c r="AJ31" s="355"/>
      <c r="AK31" s="355"/>
      <c r="AL31" s="355"/>
      <c r="AM31" s="355"/>
      <c r="AN31" s="207"/>
      <c r="AO31" s="207"/>
      <c r="AP31" s="355"/>
      <c r="AQ31" s="355"/>
      <c r="AR31" s="355"/>
      <c r="AS31" s="355"/>
      <c r="AT31" s="355"/>
      <c r="AU31" s="355"/>
      <c r="AV31" s="355"/>
      <c r="AW31" s="355"/>
      <c r="AX31" s="355"/>
      <c r="AY31" s="355"/>
      <c r="AZ31" s="355"/>
      <c r="BA31" s="207"/>
      <c r="BB31" s="207"/>
      <c r="BC31" s="355"/>
      <c r="BD31" s="355"/>
      <c r="BE31" s="355"/>
      <c r="BF31" s="355"/>
      <c r="BG31" s="355"/>
      <c r="BH31" s="355"/>
      <c r="BI31" s="355"/>
      <c r="BJ31" s="355"/>
      <c r="BK31" s="355"/>
      <c r="BL31" s="355"/>
      <c r="BM31" s="355"/>
      <c r="BN31" s="207"/>
      <c r="BO31" s="207"/>
      <c r="BP31" s="355"/>
      <c r="BQ31" s="355"/>
      <c r="BR31" s="355"/>
      <c r="BS31" s="355"/>
      <c r="BT31" s="355"/>
      <c r="BU31" s="355"/>
      <c r="BV31" s="355"/>
      <c r="BW31" s="355"/>
      <c r="BX31" s="355"/>
      <c r="BY31" s="355"/>
      <c r="BZ31" s="355"/>
      <c r="CA31" s="207"/>
      <c r="CB31" s="207"/>
      <c r="CC31" s="355"/>
      <c r="CD31" s="355"/>
      <c r="CE31" s="355"/>
      <c r="CF31" s="355"/>
      <c r="CG31" s="355"/>
      <c r="CH31" s="355"/>
      <c r="CI31" s="355"/>
      <c r="CJ31" s="355"/>
      <c r="CK31" s="355"/>
      <c r="CL31" s="355"/>
      <c r="CM31" s="355"/>
      <c r="CN31" s="207"/>
      <c r="CO31" s="207"/>
      <c r="CP31" s="355"/>
      <c r="CQ31" s="355"/>
      <c r="CR31" s="355"/>
      <c r="CS31" s="355"/>
      <c r="CT31" s="355"/>
      <c r="CU31" s="355"/>
      <c r="CV31" s="355"/>
      <c r="CW31" s="355"/>
      <c r="CX31" s="355"/>
      <c r="CY31" s="355"/>
      <c r="CZ31" s="355"/>
      <c r="DA31" s="207"/>
      <c r="DB31" s="207"/>
      <c r="DC31" s="355"/>
      <c r="DD31" s="355"/>
      <c r="DE31" s="355"/>
      <c r="DF31" s="355"/>
      <c r="DG31" s="355"/>
      <c r="DH31" s="355"/>
      <c r="DI31" s="355"/>
      <c r="DJ31" s="355"/>
      <c r="DK31" s="355"/>
      <c r="DL31" s="355"/>
      <c r="DM31" s="355"/>
      <c r="DN31" s="207"/>
      <c r="DO31" s="207"/>
      <c r="DP31" s="355"/>
      <c r="DQ31" s="355"/>
      <c r="DR31" s="355"/>
      <c r="DS31" s="355"/>
      <c r="DT31" s="355"/>
      <c r="DU31" s="355"/>
      <c r="DV31" s="355"/>
      <c r="DW31" s="355"/>
      <c r="DX31" s="355"/>
      <c r="DY31" s="355"/>
      <c r="DZ31" s="355"/>
      <c r="EA31" s="207"/>
      <c r="EB31" s="207"/>
      <c r="EC31" s="355"/>
      <c r="ED31" s="355"/>
      <c r="EE31" s="355"/>
      <c r="EF31" s="355"/>
      <c r="EG31" s="355"/>
      <c r="EH31" s="355"/>
      <c r="EI31" s="355"/>
      <c r="EJ31" s="355"/>
      <c r="EK31" s="355"/>
      <c r="EL31" s="355"/>
      <c r="EM31" s="355"/>
      <c r="EN31" s="207"/>
      <c r="EO31" s="207"/>
      <c r="EP31" s="355"/>
      <c r="EQ31" s="355"/>
      <c r="ER31" s="355"/>
      <c r="ES31" s="355"/>
      <c r="ET31" s="355"/>
      <c r="EU31" s="355"/>
      <c r="EV31" s="355"/>
      <c r="EW31" s="355"/>
      <c r="EX31" s="355"/>
      <c r="EY31" s="355"/>
      <c r="EZ31" s="355"/>
      <c r="FA31" s="207"/>
      <c r="FB31" s="207"/>
      <c r="FC31" s="355"/>
      <c r="FD31" s="355"/>
      <c r="FE31" s="355"/>
      <c r="FF31" s="355"/>
      <c r="FG31" s="355"/>
      <c r="FH31" s="355"/>
      <c r="FI31" s="355"/>
      <c r="FJ31" s="355"/>
      <c r="FK31" s="355"/>
      <c r="FL31" s="355"/>
      <c r="FM31" s="355"/>
      <c r="FN31" s="207"/>
      <c r="FO31" s="207"/>
      <c r="FP31" s="355"/>
      <c r="FQ31" s="355"/>
      <c r="FR31" s="355"/>
      <c r="FS31" s="355"/>
      <c r="FT31" s="355"/>
      <c r="FU31" s="355"/>
      <c r="FV31" s="355"/>
      <c r="FW31" s="355"/>
      <c r="FX31" s="355"/>
      <c r="FY31" s="355"/>
      <c r="FZ31" s="355"/>
      <c r="GA31" s="207"/>
      <c r="GB31" s="207"/>
      <c r="GC31" s="355"/>
      <c r="GD31" s="355"/>
      <c r="GE31" s="355"/>
      <c r="GF31" s="355"/>
      <c r="GG31" s="355"/>
      <c r="GH31" s="355"/>
      <c r="GI31" s="355"/>
      <c r="GJ31" s="355"/>
      <c r="GK31" s="355"/>
      <c r="GL31" s="355"/>
      <c r="GM31" s="355"/>
      <c r="GN31" s="207"/>
      <c r="GO31" s="207"/>
      <c r="GP31" s="355"/>
      <c r="GQ31" s="355"/>
      <c r="GR31" s="355"/>
      <c r="GS31" s="355"/>
      <c r="GT31" s="355"/>
      <c r="GU31" s="355"/>
      <c r="GV31" s="355"/>
      <c r="GW31" s="355"/>
      <c r="GX31" s="355"/>
      <c r="GY31" s="355"/>
      <c r="GZ31" s="355"/>
      <c r="HA31" s="207"/>
      <c r="HB31" s="207"/>
      <c r="HC31" s="355"/>
      <c r="HD31" s="355"/>
      <c r="HE31" s="355"/>
      <c r="HF31" s="355"/>
      <c r="HG31" s="355"/>
      <c r="HH31" s="355"/>
      <c r="HI31" s="355"/>
      <c r="HJ31" s="355"/>
      <c r="HK31" s="355"/>
      <c r="HL31" s="355"/>
      <c r="HM31" s="355"/>
      <c r="HN31" s="207"/>
      <c r="HO31" s="207"/>
      <c r="HP31" s="355"/>
      <c r="HQ31" s="355"/>
      <c r="HR31" s="355"/>
      <c r="HS31" s="355"/>
      <c r="HT31" s="355"/>
      <c r="HU31" s="355"/>
      <c r="HV31" s="355"/>
      <c r="HW31" s="355"/>
      <c r="HX31" s="355"/>
      <c r="HY31" s="355"/>
      <c r="HZ31" s="355"/>
      <c r="IA31" s="207"/>
      <c r="IB31" s="207"/>
      <c r="IC31" s="355"/>
      <c r="ID31" s="355"/>
      <c r="IE31" s="355"/>
      <c r="IF31" s="355"/>
      <c r="IG31" s="355"/>
      <c r="IH31" s="355"/>
      <c r="II31" s="355"/>
      <c r="IJ31" s="355"/>
      <c r="IK31" s="355"/>
      <c r="IL31" s="355"/>
      <c r="IM31" s="355"/>
      <c r="IN31" s="207"/>
      <c r="IO31" s="207"/>
      <c r="IP31" s="355"/>
      <c r="IQ31" s="355"/>
      <c r="IR31" s="355"/>
      <c r="IS31" s="355"/>
      <c r="IT31" s="355"/>
      <c r="IU31" s="355"/>
      <c r="IV31" s="355"/>
    </row>
    <row r="32" spans="1:256" x14ac:dyDescent="0.2">
      <c r="A32" s="218"/>
      <c r="B32" s="219"/>
      <c r="C32" s="357"/>
      <c r="D32" s="357"/>
      <c r="E32" s="357"/>
      <c r="F32" s="357"/>
      <c r="G32" s="357"/>
      <c r="H32" s="357"/>
      <c r="I32" s="357"/>
      <c r="J32" s="357"/>
      <c r="K32" s="357"/>
      <c r="L32" s="357"/>
      <c r="M32" s="358"/>
      <c r="N32" s="223"/>
      <c r="O32" s="223"/>
      <c r="P32" s="367"/>
      <c r="Q32" s="367"/>
      <c r="R32" s="367"/>
      <c r="S32" s="367"/>
      <c r="T32" s="367"/>
      <c r="U32" s="367"/>
      <c r="V32" s="367"/>
      <c r="W32" s="367"/>
      <c r="X32" s="367"/>
      <c r="Y32" s="367"/>
      <c r="Z32" s="368"/>
      <c r="AA32" s="218"/>
      <c r="AB32" s="219"/>
      <c r="AC32" s="357"/>
      <c r="AD32" s="357"/>
      <c r="AE32" s="357"/>
      <c r="AF32" s="357"/>
      <c r="AG32" s="357"/>
      <c r="AH32" s="357"/>
      <c r="AI32" s="357"/>
      <c r="AJ32" s="357"/>
      <c r="AK32" s="357"/>
      <c r="AL32" s="357"/>
      <c r="AM32" s="358"/>
      <c r="AN32" s="218"/>
      <c r="AO32" s="219"/>
      <c r="AP32" s="357"/>
      <c r="AQ32" s="357"/>
      <c r="AR32" s="357"/>
      <c r="AS32" s="357"/>
      <c r="AT32" s="357"/>
      <c r="AU32" s="357"/>
      <c r="AV32" s="357"/>
      <c r="AW32" s="357"/>
      <c r="AX32" s="357"/>
      <c r="AY32" s="357"/>
      <c r="AZ32" s="358"/>
      <c r="BA32" s="218"/>
      <c r="BB32" s="219"/>
      <c r="BC32" s="357"/>
      <c r="BD32" s="357"/>
      <c r="BE32" s="357"/>
      <c r="BF32" s="357"/>
      <c r="BG32" s="357"/>
      <c r="BH32" s="357"/>
      <c r="BI32" s="357"/>
      <c r="BJ32" s="357"/>
      <c r="BK32" s="357"/>
      <c r="BL32" s="357"/>
      <c r="BM32" s="358"/>
      <c r="BN32" s="218"/>
      <c r="BO32" s="219"/>
      <c r="BP32" s="357"/>
      <c r="BQ32" s="357"/>
      <c r="BR32" s="357"/>
      <c r="BS32" s="357"/>
      <c r="BT32" s="357"/>
      <c r="BU32" s="357"/>
      <c r="BV32" s="357"/>
      <c r="BW32" s="357"/>
      <c r="BX32" s="357"/>
      <c r="BY32" s="357"/>
      <c r="BZ32" s="358"/>
      <c r="CA32" s="218"/>
      <c r="CB32" s="219"/>
      <c r="CC32" s="357"/>
      <c r="CD32" s="357"/>
      <c r="CE32" s="357"/>
      <c r="CF32" s="357"/>
      <c r="CG32" s="357"/>
      <c r="CH32" s="357"/>
      <c r="CI32" s="357"/>
      <c r="CJ32" s="357"/>
      <c r="CK32" s="357"/>
      <c r="CL32" s="357"/>
      <c r="CM32" s="358"/>
      <c r="CN32" s="218"/>
      <c r="CO32" s="219"/>
      <c r="CP32" s="357"/>
      <c r="CQ32" s="357"/>
      <c r="CR32" s="357"/>
      <c r="CS32" s="357"/>
      <c r="CT32" s="357"/>
      <c r="CU32" s="357"/>
      <c r="CV32" s="357"/>
      <c r="CW32" s="357"/>
      <c r="CX32" s="357"/>
      <c r="CY32" s="357"/>
      <c r="CZ32" s="358"/>
      <c r="DA32" s="218"/>
      <c r="DB32" s="219"/>
      <c r="DC32" s="357"/>
      <c r="DD32" s="357"/>
      <c r="DE32" s="357"/>
      <c r="DF32" s="357"/>
      <c r="DG32" s="357"/>
      <c r="DH32" s="357"/>
      <c r="DI32" s="357"/>
      <c r="DJ32" s="357"/>
      <c r="DK32" s="357"/>
      <c r="DL32" s="357"/>
      <c r="DM32" s="358"/>
      <c r="DN32" s="218"/>
      <c r="DO32" s="219"/>
      <c r="DP32" s="357"/>
      <c r="DQ32" s="357"/>
      <c r="DR32" s="357"/>
      <c r="DS32" s="357"/>
      <c r="DT32" s="357"/>
      <c r="DU32" s="357"/>
      <c r="DV32" s="357"/>
      <c r="DW32" s="357"/>
      <c r="DX32" s="357"/>
      <c r="DY32" s="357"/>
      <c r="DZ32" s="358"/>
      <c r="EA32" s="218"/>
      <c r="EB32" s="219"/>
      <c r="EC32" s="357"/>
      <c r="ED32" s="357"/>
      <c r="EE32" s="357"/>
      <c r="EF32" s="357"/>
      <c r="EG32" s="357"/>
      <c r="EH32" s="357"/>
      <c r="EI32" s="357"/>
      <c r="EJ32" s="357"/>
      <c r="EK32" s="357"/>
      <c r="EL32" s="357"/>
      <c r="EM32" s="358"/>
      <c r="EN32" s="218"/>
      <c r="EO32" s="219"/>
      <c r="EP32" s="357"/>
      <c r="EQ32" s="357"/>
      <c r="ER32" s="357"/>
      <c r="ES32" s="357"/>
      <c r="ET32" s="357"/>
      <c r="EU32" s="357"/>
      <c r="EV32" s="357"/>
      <c r="EW32" s="357"/>
      <c r="EX32" s="357"/>
      <c r="EY32" s="357"/>
      <c r="EZ32" s="358"/>
      <c r="FA32" s="218"/>
      <c r="FB32" s="219"/>
      <c r="FC32" s="357"/>
      <c r="FD32" s="357"/>
      <c r="FE32" s="357"/>
      <c r="FF32" s="357"/>
      <c r="FG32" s="357"/>
      <c r="FH32" s="357"/>
      <c r="FI32" s="357"/>
      <c r="FJ32" s="357"/>
      <c r="FK32" s="357"/>
      <c r="FL32" s="357"/>
      <c r="FM32" s="358"/>
      <c r="FN32" s="218"/>
      <c r="FO32" s="219"/>
      <c r="FP32" s="357"/>
      <c r="FQ32" s="357"/>
      <c r="FR32" s="357"/>
      <c r="FS32" s="357"/>
      <c r="FT32" s="357"/>
      <c r="FU32" s="357"/>
      <c r="FV32" s="357"/>
      <c r="FW32" s="357"/>
      <c r="FX32" s="357"/>
      <c r="FY32" s="357"/>
      <c r="FZ32" s="358"/>
      <c r="GA32" s="218"/>
      <c r="GB32" s="219"/>
      <c r="GC32" s="357"/>
      <c r="GD32" s="357"/>
      <c r="GE32" s="357"/>
      <c r="GF32" s="357"/>
      <c r="GG32" s="357"/>
      <c r="GH32" s="357"/>
      <c r="GI32" s="357"/>
      <c r="GJ32" s="357"/>
      <c r="GK32" s="357"/>
      <c r="GL32" s="357"/>
      <c r="GM32" s="358"/>
      <c r="GN32" s="218"/>
      <c r="GO32" s="219"/>
      <c r="GP32" s="357"/>
      <c r="GQ32" s="357"/>
      <c r="GR32" s="357"/>
      <c r="GS32" s="357"/>
      <c r="GT32" s="357"/>
      <c r="GU32" s="357"/>
      <c r="GV32" s="357"/>
      <c r="GW32" s="357"/>
      <c r="GX32" s="357"/>
      <c r="GY32" s="357"/>
      <c r="GZ32" s="358"/>
      <c r="HA32" s="218"/>
      <c r="HB32" s="219"/>
      <c r="HC32" s="357"/>
      <c r="HD32" s="357"/>
      <c r="HE32" s="357"/>
      <c r="HF32" s="357"/>
      <c r="HG32" s="357"/>
      <c r="HH32" s="357"/>
      <c r="HI32" s="357"/>
      <c r="HJ32" s="357"/>
      <c r="HK32" s="357"/>
      <c r="HL32" s="357"/>
      <c r="HM32" s="358"/>
      <c r="HN32" s="218"/>
      <c r="HO32" s="219"/>
      <c r="HP32" s="357"/>
      <c r="HQ32" s="357"/>
      <c r="HR32" s="357"/>
      <c r="HS32" s="357"/>
      <c r="HT32" s="357"/>
      <c r="HU32" s="357"/>
      <c r="HV32" s="357"/>
      <c r="HW32" s="357"/>
      <c r="HX32" s="357"/>
      <c r="HY32" s="357"/>
      <c r="HZ32" s="358"/>
      <c r="IA32" s="218"/>
      <c r="IB32" s="219"/>
      <c r="IC32" s="357"/>
      <c r="ID32" s="357"/>
      <c r="IE32" s="357"/>
      <c r="IF32" s="357"/>
      <c r="IG32" s="357"/>
      <c r="IH32" s="357"/>
      <c r="II32" s="357"/>
      <c r="IJ32" s="357"/>
      <c r="IK32" s="357"/>
      <c r="IL32" s="357"/>
      <c r="IM32" s="358"/>
      <c r="IN32" s="218"/>
      <c r="IO32" s="219"/>
      <c r="IP32" s="357"/>
      <c r="IQ32" s="357"/>
      <c r="IR32" s="357"/>
      <c r="IS32" s="357"/>
      <c r="IT32" s="357"/>
      <c r="IU32" s="357"/>
      <c r="IV32" s="357"/>
    </row>
    <row r="33" spans="1:256" x14ac:dyDescent="0.2">
      <c r="A33" s="218"/>
      <c r="B33" s="219"/>
      <c r="C33" s="357"/>
      <c r="D33" s="357"/>
      <c r="E33" s="357"/>
      <c r="F33" s="357"/>
      <c r="G33" s="357"/>
      <c r="H33" s="357"/>
      <c r="I33" s="357"/>
      <c r="J33" s="357"/>
      <c r="K33" s="357"/>
      <c r="L33" s="357"/>
      <c r="M33" s="358"/>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7"/>
      <c r="D34" s="357"/>
      <c r="E34" s="357"/>
      <c r="F34" s="357"/>
      <c r="G34" s="357"/>
      <c r="H34" s="357"/>
      <c r="I34" s="357"/>
      <c r="J34" s="357"/>
      <c r="K34" s="357"/>
      <c r="L34" s="357"/>
      <c r="M34" s="358"/>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7"/>
      <c r="D35" s="357"/>
      <c r="E35" s="357"/>
      <c r="F35" s="357"/>
      <c r="G35" s="357"/>
      <c r="H35" s="357"/>
      <c r="I35" s="357"/>
      <c r="J35" s="357"/>
      <c r="K35" s="357"/>
      <c r="L35" s="357"/>
      <c r="M35" s="358"/>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7"/>
      <c r="D36" s="357"/>
      <c r="E36" s="357"/>
      <c r="F36" s="357"/>
      <c r="G36" s="357"/>
      <c r="H36" s="357"/>
      <c r="I36" s="357"/>
      <c r="J36" s="357"/>
      <c r="K36" s="357"/>
      <c r="L36" s="357"/>
      <c r="M36" s="358"/>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7"/>
      <c r="D37" s="357"/>
      <c r="E37" s="357"/>
      <c r="F37" s="357"/>
      <c r="G37" s="357"/>
      <c r="H37" s="357"/>
      <c r="I37" s="357"/>
      <c r="J37" s="357"/>
      <c r="K37" s="357"/>
      <c r="L37" s="357"/>
      <c r="M37" s="358"/>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7"/>
      <c r="D38" s="357"/>
      <c r="E38" s="357"/>
      <c r="F38" s="357"/>
      <c r="G38" s="357"/>
      <c r="H38" s="357"/>
      <c r="I38" s="357"/>
      <c r="J38" s="357"/>
      <c r="K38" s="357"/>
      <c r="L38" s="357"/>
      <c r="M38" s="358"/>
      <c r="N38" s="211"/>
      <c r="O38" s="211"/>
      <c r="P38" s="356"/>
      <c r="Q38" s="356"/>
      <c r="R38" s="356"/>
      <c r="S38" s="356"/>
      <c r="T38" s="356"/>
      <c r="U38" s="356"/>
      <c r="V38" s="356"/>
      <c r="W38" s="356"/>
      <c r="X38" s="356"/>
      <c r="Y38" s="356"/>
      <c r="Z38" s="356"/>
      <c r="AA38" s="207"/>
      <c r="AB38" s="207"/>
      <c r="AC38" s="355"/>
      <c r="AD38" s="355"/>
      <c r="AE38" s="355"/>
      <c r="AF38" s="355"/>
      <c r="AG38" s="355"/>
      <c r="AH38" s="355"/>
      <c r="AI38" s="355"/>
      <c r="AJ38" s="355"/>
      <c r="AK38" s="355"/>
      <c r="AL38" s="355"/>
      <c r="AM38" s="355"/>
      <c r="AN38" s="207"/>
      <c r="AO38" s="207"/>
      <c r="AP38" s="355"/>
      <c r="AQ38" s="355"/>
      <c r="AR38" s="355"/>
      <c r="AS38" s="355"/>
      <c r="AT38" s="355"/>
      <c r="AU38" s="355"/>
      <c r="AV38" s="355"/>
      <c r="AW38" s="355"/>
      <c r="AX38" s="355"/>
      <c r="AY38" s="355"/>
      <c r="AZ38" s="355"/>
      <c r="BA38" s="207"/>
      <c r="BB38" s="207"/>
      <c r="BC38" s="355"/>
      <c r="BD38" s="355"/>
      <c r="BE38" s="355"/>
      <c r="BF38" s="355"/>
      <c r="BG38" s="355"/>
      <c r="BH38" s="355"/>
      <c r="BI38" s="355"/>
      <c r="BJ38" s="355"/>
      <c r="BK38" s="355"/>
      <c r="BL38" s="355"/>
      <c r="BM38" s="355"/>
      <c r="BN38" s="207"/>
      <c r="BO38" s="207"/>
      <c r="BP38" s="355"/>
      <c r="BQ38" s="355"/>
      <c r="BR38" s="355"/>
      <c r="BS38" s="355"/>
      <c r="BT38" s="355"/>
      <c r="BU38" s="355"/>
      <c r="BV38" s="355"/>
      <c r="BW38" s="355"/>
      <c r="BX38" s="355"/>
      <c r="BY38" s="355"/>
      <c r="BZ38" s="355"/>
      <c r="CA38" s="207"/>
      <c r="CB38" s="207"/>
      <c r="CC38" s="355"/>
      <c r="CD38" s="355"/>
      <c r="CE38" s="355"/>
      <c r="CF38" s="355"/>
      <c r="CG38" s="355"/>
      <c r="CH38" s="355"/>
      <c r="CI38" s="355"/>
      <c r="CJ38" s="355"/>
      <c r="CK38" s="355"/>
      <c r="CL38" s="355"/>
      <c r="CM38" s="355"/>
      <c r="CN38" s="207"/>
      <c r="CO38" s="207"/>
      <c r="CP38" s="355"/>
      <c r="CQ38" s="355"/>
      <c r="CR38" s="355"/>
      <c r="CS38" s="355"/>
      <c r="CT38" s="355"/>
      <c r="CU38" s="355"/>
      <c r="CV38" s="355"/>
      <c r="CW38" s="355"/>
      <c r="CX38" s="355"/>
      <c r="CY38" s="355"/>
      <c r="CZ38" s="355"/>
      <c r="DA38" s="207"/>
      <c r="DB38" s="207"/>
      <c r="DC38" s="355"/>
      <c r="DD38" s="355"/>
      <c r="DE38" s="355"/>
      <c r="DF38" s="355"/>
      <c r="DG38" s="355"/>
      <c r="DH38" s="355"/>
      <c r="DI38" s="355"/>
      <c r="DJ38" s="355"/>
      <c r="DK38" s="355"/>
      <c r="DL38" s="355"/>
      <c r="DM38" s="355"/>
      <c r="DN38" s="207"/>
      <c r="DO38" s="207"/>
      <c r="DP38" s="355"/>
      <c r="DQ38" s="355"/>
      <c r="DR38" s="355"/>
      <c r="DS38" s="355"/>
      <c r="DT38" s="355"/>
      <c r="DU38" s="355"/>
      <c r="DV38" s="355"/>
      <c r="DW38" s="355"/>
      <c r="DX38" s="355"/>
      <c r="DY38" s="355"/>
      <c r="DZ38" s="355"/>
      <c r="EA38" s="207"/>
      <c r="EB38" s="207"/>
      <c r="EC38" s="355"/>
      <c r="ED38" s="355"/>
      <c r="EE38" s="355"/>
      <c r="EF38" s="355"/>
      <c r="EG38" s="355"/>
      <c r="EH38" s="355"/>
      <c r="EI38" s="355"/>
      <c r="EJ38" s="355"/>
      <c r="EK38" s="355"/>
      <c r="EL38" s="355"/>
      <c r="EM38" s="355"/>
      <c r="EN38" s="207"/>
      <c r="EO38" s="207"/>
      <c r="EP38" s="355"/>
      <c r="EQ38" s="355"/>
      <c r="ER38" s="355"/>
      <c r="ES38" s="355"/>
      <c r="ET38" s="355"/>
      <c r="EU38" s="355"/>
      <c r="EV38" s="355"/>
      <c r="EW38" s="355"/>
      <c r="EX38" s="355"/>
      <c r="EY38" s="355"/>
      <c r="EZ38" s="355"/>
      <c r="FA38" s="207"/>
      <c r="FB38" s="207"/>
      <c r="FC38" s="355"/>
      <c r="FD38" s="355"/>
      <c r="FE38" s="355"/>
      <c r="FF38" s="355"/>
      <c r="FG38" s="355"/>
      <c r="FH38" s="355"/>
      <c r="FI38" s="355"/>
      <c r="FJ38" s="355"/>
      <c r="FK38" s="355"/>
      <c r="FL38" s="355"/>
      <c r="FM38" s="355"/>
      <c r="FN38" s="207"/>
      <c r="FO38" s="207"/>
      <c r="FP38" s="355"/>
      <c r="FQ38" s="355"/>
      <c r="FR38" s="355"/>
      <c r="FS38" s="355"/>
      <c r="FT38" s="355"/>
      <c r="FU38" s="355"/>
      <c r="FV38" s="355"/>
      <c r="FW38" s="355"/>
      <c r="FX38" s="355"/>
      <c r="FY38" s="355"/>
      <c r="FZ38" s="355"/>
      <c r="GA38" s="207"/>
      <c r="GB38" s="207"/>
      <c r="GC38" s="355"/>
      <c r="GD38" s="355"/>
      <c r="GE38" s="355"/>
      <c r="GF38" s="355"/>
      <c r="GG38" s="355"/>
      <c r="GH38" s="355"/>
      <c r="GI38" s="355"/>
      <c r="GJ38" s="355"/>
      <c r="GK38" s="355"/>
      <c r="GL38" s="355"/>
      <c r="GM38" s="355"/>
      <c r="GN38" s="207"/>
      <c r="GO38" s="207"/>
      <c r="GP38" s="355"/>
      <c r="GQ38" s="355"/>
      <c r="GR38" s="355"/>
      <c r="GS38" s="355"/>
      <c r="GT38" s="355"/>
      <c r="GU38" s="355"/>
      <c r="GV38" s="355"/>
      <c r="GW38" s="355"/>
      <c r="GX38" s="355"/>
      <c r="GY38" s="355"/>
      <c r="GZ38" s="355"/>
      <c r="HA38" s="207"/>
      <c r="HB38" s="207"/>
      <c r="HC38" s="355"/>
      <c r="HD38" s="355"/>
      <c r="HE38" s="355"/>
      <c r="HF38" s="355"/>
      <c r="HG38" s="355"/>
      <c r="HH38" s="355"/>
      <c r="HI38" s="355"/>
      <c r="HJ38" s="355"/>
      <c r="HK38" s="355"/>
      <c r="HL38" s="355"/>
      <c r="HM38" s="355"/>
      <c r="HN38" s="207"/>
      <c r="HO38" s="207"/>
      <c r="HP38" s="355"/>
      <c r="HQ38" s="355"/>
      <c r="HR38" s="355"/>
      <c r="HS38" s="355"/>
      <c r="HT38" s="355"/>
      <c r="HU38" s="355"/>
      <c r="HV38" s="355"/>
      <c r="HW38" s="355"/>
      <c r="HX38" s="355"/>
      <c r="HY38" s="355"/>
      <c r="HZ38" s="355"/>
      <c r="IA38" s="207"/>
      <c r="IB38" s="207"/>
      <c r="IC38" s="355"/>
      <c r="ID38" s="355"/>
      <c r="IE38" s="355"/>
      <c r="IF38" s="355"/>
      <c r="IG38" s="355"/>
      <c r="IH38" s="355"/>
      <c r="II38" s="355"/>
      <c r="IJ38" s="355"/>
      <c r="IK38" s="355"/>
      <c r="IL38" s="355"/>
      <c r="IM38" s="355"/>
      <c r="IN38" s="207"/>
      <c r="IO38" s="207"/>
      <c r="IP38" s="355"/>
      <c r="IQ38" s="355"/>
      <c r="IR38" s="355"/>
      <c r="IS38" s="355"/>
      <c r="IT38" s="355"/>
      <c r="IU38" s="355"/>
      <c r="IV38" s="355"/>
    </row>
    <row r="39" spans="1:256" x14ac:dyDescent="0.2">
      <c r="A39" s="218"/>
      <c r="B39" s="219"/>
      <c r="C39" s="357"/>
      <c r="D39" s="357"/>
      <c r="E39" s="357"/>
      <c r="F39" s="357"/>
      <c r="G39" s="357"/>
      <c r="H39" s="357"/>
      <c r="I39" s="357"/>
      <c r="J39" s="357"/>
      <c r="K39" s="357"/>
      <c r="L39" s="357"/>
      <c r="M39" s="358"/>
      <c r="N39" s="211"/>
      <c r="O39" s="211"/>
      <c r="P39" s="356"/>
      <c r="Q39" s="356"/>
      <c r="R39" s="356"/>
      <c r="S39" s="356"/>
      <c r="T39" s="356"/>
      <c r="U39" s="356"/>
      <c r="V39" s="356"/>
      <c r="W39" s="356"/>
      <c r="X39" s="356"/>
      <c r="Y39" s="356"/>
      <c r="Z39" s="356"/>
      <c r="AA39" s="207"/>
      <c r="AB39" s="207"/>
      <c r="AC39" s="355"/>
      <c r="AD39" s="355"/>
      <c r="AE39" s="355"/>
      <c r="AF39" s="355"/>
      <c r="AG39" s="355"/>
      <c r="AH39" s="355"/>
      <c r="AI39" s="355"/>
      <c r="AJ39" s="355"/>
      <c r="AK39" s="355"/>
      <c r="AL39" s="355"/>
      <c r="AM39" s="355"/>
      <c r="AN39" s="207"/>
      <c r="AO39" s="207"/>
      <c r="AP39" s="355"/>
      <c r="AQ39" s="355"/>
      <c r="AR39" s="355"/>
      <c r="AS39" s="355"/>
      <c r="AT39" s="355"/>
      <c r="AU39" s="355"/>
      <c r="AV39" s="355"/>
      <c r="AW39" s="355"/>
      <c r="AX39" s="355"/>
      <c r="AY39" s="355"/>
      <c r="AZ39" s="355"/>
      <c r="BA39" s="207"/>
      <c r="BB39" s="207"/>
      <c r="BC39" s="355"/>
      <c r="BD39" s="355"/>
      <c r="BE39" s="355"/>
      <c r="BF39" s="355"/>
      <c r="BG39" s="355"/>
      <c r="BH39" s="355"/>
      <c r="BI39" s="355"/>
      <c r="BJ39" s="355"/>
      <c r="BK39" s="355"/>
      <c r="BL39" s="355"/>
      <c r="BM39" s="355"/>
      <c r="BN39" s="207"/>
      <c r="BO39" s="207"/>
      <c r="BP39" s="355"/>
      <c r="BQ39" s="355"/>
      <c r="BR39" s="355"/>
      <c r="BS39" s="355"/>
      <c r="BT39" s="355"/>
      <c r="BU39" s="355"/>
      <c r="BV39" s="355"/>
      <c r="BW39" s="355"/>
      <c r="BX39" s="355"/>
      <c r="BY39" s="355"/>
      <c r="BZ39" s="355"/>
      <c r="CA39" s="207"/>
      <c r="CB39" s="207"/>
      <c r="CC39" s="355"/>
      <c r="CD39" s="355"/>
      <c r="CE39" s="355"/>
      <c r="CF39" s="355"/>
      <c r="CG39" s="355"/>
      <c r="CH39" s="355"/>
      <c r="CI39" s="355"/>
      <c r="CJ39" s="355"/>
      <c r="CK39" s="355"/>
      <c r="CL39" s="355"/>
      <c r="CM39" s="355"/>
      <c r="CN39" s="207"/>
      <c r="CO39" s="207"/>
      <c r="CP39" s="355"/>
      <c r="CQ39" s="355"/>
      <c r="CR39" s="355"/>
      <c r="CS39" s="355"/>
      <c r="CT39" s="355"/>
      <c r="CU39" s="355"/>
      <c r="CV39" s="355"/>
      <c r="CW39" s="355"/>
      <c r="CX39" s="355"/>
      <c r="CY39" s="355"/>
      <c r="CZ39" s="355"/>
      <c r="DA39" s="207"/>
      <c r="DB39" s="207"/>
      <c r="DC39" s="355"/>
      <c r="DD39" s="355"/>
      <c r="DE39" s="355"/>
      <c r="DF39" s="355"/>
      <c r="DG39" s="355"/>
      <c r="DH39" s="355"/>
      <c r="DI39" s="355"/>
      <c r="DJ39" s="355"/>
      <c r="DK39" s="355"/>
      <c r="DL39" s="355"/>
      <c r="DM39" s="355"/>
      <c r="DN39" s="207"/>
      <c r="DO39" s="207"/>
      <c r="DP39" s="355"/>
      <c r="DQ39" s="355"/>
      <c r="DR39" s="355"/>
      <c r="DS39" s="355"/>
      <c r="DT39" s="355"/>
      <c r="DU39" s="355"/>
      <c r="DV39" s="355"/>
      <c r="DW39" s="355"/>
      <c r="DX39" s="355"/>
      <c r="DY39" s="355"/>
      <c r="DZ39" s="355"/>
      <c r="EA39" s="207"/>
      <c r="EB39" s="207"/>
      <c r="EC39" s="355"/>
      <c r="ED39" s="355"/>
      <c r="EE39" s="355"/>
      <c r="EF39" s="355"/>
      <c r="EG39" s="355"/>
      <c r="EH39" s="355"/>
      <c r="EI39" s="355"/>
      <c r="EJ39" s="355"/>
      <c r="EK39" s="355"/>
      <c r="EL39" s="355"/>
      <c r="EM39" s="355"/>
      <c r="EN39" s="207"/>
      <c r="EO39" s="207"/>
      <c r="EP39" s="355"/>
      <c r="EQ39" s="355"/>
      <c r="ER39" s="355"/>
      <c r="ES39" s="355"/>
      <c r="ET39" s="355"/>
      <c r="EU39" s="355"/>
      <c r="EV39" s="355"/>
      <c r="EW39" s="355"/>
      <c r="EX39" s="355"/>
      <c r="EY39" s="355"/>
      <c r="EZ39" s="355"/>
      <c r="FA39" s="207"/>
      <c r="FB39" s="207"/>
      <c r="FC39" s="355"/>
      <c r="FD39" s="355"/>
      <c r="FE39" s="355"/>
      <c r="FF39" s="355"/>
      <c r="FG39" s="355"/>
      <c r="FH39" s="355"/>
      <c r="FI39" s="355"/>
      <c r="FJ39" s="355"/>
      <c r="FK39" s="355"/>
      <c r="FL39" s="355"/>
      <c r="FM39" s="355"/>
      <c r="FN39" s="207"/>
      <c r="FO39" s="207"/>
      <c r="FP39" s="355"/>
      <c r="FQ39" s="355"/>
      <c r="FR39" s="355"/>
      <c r="FS39" s="355"/>
      <c r="FT39" s="355"/>
      <c r="FU39" s="355"/>
      <c r="FV39" s="355"/>
      <c r="FW39" s="355"/>
      <c r="FX39" s="355"/>
      <c r="FY39" s="355"/>
      <c r="FZ39" s="355"/>
      <c r="GA39" s="207"/>
      <c r="GB39" s="207"/>
      <c r="GC39" s="355"/>
      <c r="GD39" s="355"/>
      <c r="GE39" s="355"/>
      <c r="GF39" s="355"/>
      <c r="GG39" s="355"/>
      <c r="GH39" s="355"/>
      <c r="GI39" s="355"/>
      <c r="GJ39" s="355"/>
      <c r="GK39" s="355"/>
      <c r="GL39" s="355"/>
      <c r="GM39" s="355"/>
      <c r="GN39" s="207"/>
      <c r="GO39" s="207"/>
      <c r="GP39" s="355"/>
      <c r="GQ39" s="355"/>
      <c r="GR39" s="355"/>
      <c r="GS39" s="355"/>
      <c r="GT39" s="355"/>
      <c r="GU39" s="355"/>
      <c r="GV39" s="355"/>
      <c r="GW39" s="355"/>
      <c r="GX39" s="355"/>
      <c r="GY39" s="355"/>
      <c r="GZ39" s="355"/>
      <c r="HA39" s="207"/>
      <c r="HB39" s="207"/>
      <c r="HC39" s="355"/>
      <c r="HD39" s="355"/>
      <c r="HE39" s="355"/>
      <c r="HF39" s="355"/>
      <c r="HG39" s="355"/>
      <c r="HH39" s="355"/>
      <c r="HI39" s="355"/>
      <c r="HJ39" s="355"/>
      <c r="HK39" s="355"/>
      <c r="HL39" s="355"/>
      <c r="HM39" s="355"/>
      <c r="HN39" s="207"/>
      <c r="HO39" s="207"/>
      <c r="HP39" s="355"/>
      <c r="HQ39" s="355"/>
      <c r="HR39" s="355"/>
      <c r="HS39" s="355"/>
      <c r="HT39" s="355"/>
      <c r="HU39" s="355"/>
      <c r="HV39" s="355"/>
      <c r="HW39" s="355"/>
      <c r="HX39" s="355"/>
      <c r="HY39" s="355"/>
      <c r="HZ39" s="355"/>
      <c r="IA39" s="207"/>
      <c r="IB39" s="207"/>
      <c r="IC39" s="355"/>
      <c r="ID39" s="355"/>
      <c r="IE39" s="355"/>
      <c r="IF39" s="355"/>
      <c r="IG39" s="355"/>
      <c r="IH39" s="355"/>
      <c r="II39" s="355"/>
      <c r="IJ39" s="355"/>
      <c r="IK39" s="355"/>
      <c r="IL39" s="355"/>
      <c r="IM39" s="355"/>
      <c r="IN39" s="207"/>
      <c r="IO39" s="207"/>
      <c r="IP39" s="355"/>
      <c r="IQ39" s="355"/>
      <c r="IR39" s="355"/>
      <c r="IS39" s="355"/>
      <c r="IT39" s="355"/>
      <c r="IU39" s="355"/>
      <c r="IV39" s="355"/>
    </row>
    <row r="40" spans="1:256" x14ac:dyDescent="0.2">
      <c r="A40" s="218"/>
      <c r="B40" s="219"/>
      <c r="C40" s="357"/>
      <c r="D40" s="357"/>
      <c r="E40" s="357"/>
      <c r="F40" s="357"/>
      <c r="G40" s="357"/>
      <c r="H40" s="357"/>
      <c r="I40" s="357"/>
      <c r="J40" s="357"/>
      <c r="K40" s="357"/>
      <c r="L40" s="357"/>
      <c r="M40" s="358"/>
      <c r="N40" s="211"/>
      <c r="O40" s="211"/>
      <c r="P40" s="356"/>
      <c r="Q40" s="356"/>
      <c r="R40" s="356"/>
      <c r="S40" s="356"/>
      <c r="T40" s="356"/>
      <c r="U40" s="356"/>
      <c r="V40" s="356"/>
      <c r="W40" s="356"/>
      <c r="X40" s="356"/>
      <c r="Y40" s="356"/>
      <c r="Z40" s="356"/>
      <c r="AA40" s="207"/>
      <c r="AB40" s="207"/>
      <c r="AC40" s="355"/>
      <c r="AD40" s="355"/>
      <c r="AE40" s="355"/>
      <c r="AF40" s="355"/>
      <c r="AG40" s="355"/>
      <c r="AH40" s="355"/>
      <c r="AI40" s="355"/>
      <c r="AJ40" s="355"/>
      <c r="AK40" s="355"/>
      <c r="AL40" s="355"/>
      <c r="AM40" s="355"/>
      <c r="AN40" s="207"/>
      <c r="AO40" s="207"/>
      <c r="AP40" s="355"/>
      <c r="AQ40" s="355"/>
      <c r="AR40" s="355"/>
      <c r="AS40" s="355"/>
      <c r="AT40" s="355"/>
      <c r="AU40" s="355"/>
      <c r="AV40" s="355"/>
      <c r="AW40" s="355"/>
      <c r="AX40" s="355"/>
      <c r="AY40" s="355"/>
      <c r="AZ40" s="355"/>
      <c r="BA40" s="207"/>
      <c r="BB40" s="207"/>
      <c r="BC40" s="355"/>
      <c r="BD40" s="355"/>
      <c r="BE40" s="355"/>
      <c r="BF40" s="355"/>
      <c r="BG40" s="355"/>
      <c r="BH40" s="355"/>
      <c r="BI40" s="355"/>
      <c r="BJ40" s="355"/>
      <c r="BK40" s="355"/>
      <c r="BL40" s="355"/>
      <c r="BM40" s="355"/>
      <c r="BN40" s="207"/>
      <c r="BO40" s="207"/>
      <c r="BP40" s="355"/>
      <c r="BQ40" s="355"/>
      <c r="BR40" s="355"/>
      <c r="BS40" s="355"/>
      <c r="BT40" s="355"/>
      <c r="BU40" s="355"/>
      <c r="BV40" s="355"/>
      <c r="BW40" s="355"/>
      <c r="BX40" s="355"/>
      <c r="BY40" s="355"/>
      <c r="BZ40" s="355"/>
      <c r="CA40" s="207"/>
      <c r="CB40" s="207"/>
      <c r="CC40" s="355"/>
      <c r="CD40" s="355"/>
      <c r="CE40" s="355"/>
      <c r="CF40" s="355"/>
      <c r="CG40" s="355"/>
      <c r="CH40" s="355"/>
      <c r="CI40" s="355"/>
      <c r="CJ40" s="355"/>
      <c r="CK40" s="355"/>
      <c r="CL40" s="355"/>
      <c r="CM40" s="355"/>
      <c r="CN40" s="207"/>
      <c r="CO40" s="207"/>
      <c r="CP40" s="355"/>
      <c r="CQ40" s="355"/>
      <c r="CR40" s="355"/>
      <c r="CS40" s="355"/>
      <c r="CT40" s="355"/>
      <c r="CU40" s="355"/>
      <c r="CV40" s="355"/>
      <c r="CW40" s="355"/>
      <c r="CX40" s="355"/>
      <c r="CY40" s="355"/>
      <c r="CZ40" s="355"/>
      <c r="DA40" s="207"/>
      <c r="DB40" s="207"/>
      <c r="DC40" s="355"/>
      <c r="DD40" s="355"/>
      <c r="DE40" s="355"/>
      <c r="DF40" s="355"/>
      <c r="DG40" s="355"/>
      <c r="DH40" s="355"/>
      <c r="DI40" s="355"/>
      <c r="DJ40" s="355"/>
      <c r="DK40" s="355"/>
      <c r="DL40" s="355"/>
      <c r="DM40" s="355"/>
      <c r="DN40" s="207"/>
      <c r="DO40" s="207"/>
      <c r="DP40" s="355"/>
      <c r="DQ40" s="355"/>
      <c r="DR40" s="355"/>
      <c r="DS40" s="355"/>
      <c r="DT40" s="355"/>
      <c r="DU40" s="355"/>
      <c r="DV40" s="355"/>
      <c r="DW40" s="355"/>
      <c r="DX40" s="355"/>
      <c r="DY40" s="355"/>
      <c r="DZ40" s="355"/>
      <c r="EA40" s="207"/>
      <c r="EB40" s="207"/>
      <c r="EC40" s="355"/>
      <c r="ED40" s="355"/>
      <c r="EE40" s="355"/>
      <c r="EF40" s="355"/>
      <c r="EG40" s="355"/>
      <c r="EH40" s="355"/>
      <c r="EI40" s="355"/>
      <c r="EJ40" s="355"/>
      <c r="EK40" s="355"/>
      <c r="EL40" s="355"/>
      <c r="EM40" s="355"/>
      <c r="EN40" s="207"/>
      <c r="EO40" s="207"/>
      <c r="EP40" s="355"/>
      <c r="EQ40" s="355"/>
      <c r="ER40" s="355"/>
      <c r="ES40" s="355"/>
      <c r="ET40" s="355"/>
      <c r="EU40" s="355"/>
      <c r="EV40" s="355"/>
      <c r="EW40" s="355"/>
      <c r="EX40" s="355"/>
      <c r="EY40" s="355"/>
      <c r="EZ40" s="355"/>
      <c r="FA40" s="207"/>
      <c r="FB40" s="207"/>
      <c r="FC40" s="355"/>
      <c r="FD40" s="355"/>
      <c r="FE40" s="355"/>
      <c r="FF40" s="355"/>
      <c r="FG40" s="355"/>
      <c r="FH40" s="355"/>
      <c r="FI40" s="355"/>
      <c r="FJ40" s="355"/>
      <c r="FK40" s="355"/>
      <c r="FL40" s="355"/>
      <c r="FM40" s="355"/>
      <c r="FN40" s="207"/>
      <c r="FO40" s="207"/>
      <c r="FP40" s="355"/>
      <c r="FQ40" s="355"/>
      <c r="FR40" s="355"/>
      <c r="FS40" s="355"/>
      <c r="FT40" s="355"/>
      <c r="FU40" s="355"/>
      <c r="FV40" s="355"/>
      <c r="FW40" s="355"/>
      <c r="FX40" s="355"/>
      <c r="FY40" s="355"/>
      <c r="FZ40" s="355"/>
      <c r="GA40" s="207"/>
      <c r="GB40" s="207"/>
      <c r="GC40" s="355"/>
      <c r="GD40" s="355"/>
      <c r="GE40" s="355"/>
      <c r="GF40" s="355"/>
      <c r="GG40" s="355"/>
      <c r="GH40" s="355"/>
      <c r="GI40" s="355"/>
      <c r="GJ40" s="355"/>
      <c r="GK40" s="355"/>
      <c r="GL40" s="355"/>
      <c r="GM40" s="355"/>
      <c r="GN40" s="207"/>
      <c r="GO40" s="207"/>
      <c r="GP40" s="355"/>
      <c r="GQ40" s="355"/>
      <c r="GR40" s="355"/>
      <c r="GS40" s="355"/>
      <c r="GT40" s="355"/>
      <c r="GU40" s="355"/>
      <c r="GV40" s="355"/>
      <c r="GW40" s="355"/>
      <c r="GX40" s="355"/>
      <c r="GY40" s="355"/>
      <c r="GZ40" s="355"/>
      <c r="HA40" s="207"/>
      <c r="HB40" s="207"/>
      <c r="HC40" s="355"/>
      <c r="HD40" s="355"/>
      <c r="HE40" s="355"/>
      <c r="HF40" s="355"/>
      <c r="HG40" s="355"/>
      <c r="HH40" s="355"/>
      <c r="HI40" s="355"/>
      <c r="HJ40" s="355"/>
      <c r="HK40" s="355"/>
      <c r="HL40" s="355"/>
      <c r="HM40" s="355"/>
      <c r="HN40" s="207"/>
      <c r="HO40" s="207"/>
      <c r="HP40" s="355"/>
      <c r="HQ40" s="355"/>
      <c r="HR40" s="355"/>
      <c r="HS40" s="355"/>
      <c r="HT40" s="355"/>
      <c r="HU40" s="355"/>
      <c r="HV40" s="355"/>
      <c r="HW40" s="355"/>
      <c r="HX40" s="355"/>
      <c r="HY40" s="355"/>
      <c r="HZ40" s="355"/>
      <c r="IA40" s="207"/>
      <c r="IB40" s="207"/>
      <c r="IC40" s="355"/>
      <c r="ID40" s="355"/>
      <c r="IE40" s="355"/>
      <c r="IF40" s="355"/>
      <c r="IG40" s="355"/>
      <c r="IH40" s="355"/>
      <c r="II40" s="355"/>
      <c r="IJ40" s="355"/>
      <c r="IK40" s="355"/>
      <c r="IL40" s="355"/>
      <c r="IM40" s="355"/>
      <c r="IN40" s="207"/>
      <c r="IO40" s="207"/>
      <c r="IP40" s="355"/>
      <c r="IQ40" s="355"/>
      <c r="IR40" s="355"/>
      <c r="IS40" s="355"/>
      <c r="IT40" s="355"/>
      <c r="IU40" s="355"/>
      <c r="IV40" s="355"/>
    </row>
    <row r="41" spans="1:256" x14ac:dyDescent="0.2">
      <c r="A41" s="218"/>
      <c r="B41" s="219"/>
      <c r="C41" s="357"/>
      <c r="D41" s="357"/>
      <c r="E41" s="357"/>
      <c r="F41" s="357"/>
      <c r="G41" s="357"/>
      <c r="H41" s="357"/>
      <c r="I41" s="357"/>
      <c r="J41" s="357"/>
      <c r="K41" s="357"/>
      <c r="L41" s="357"/>
      <c r="M41" s="358"/>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7"/>
      <c r="D42" s="357"/>
      <c r="E42" s="357"/>
      <c r="F42" s="357"/>
      <c r="G42" s="357"/>
      <c r="H42" s="357"/>
      <c r="I42" s="357"/>
      <c r="J42" s="357"/>
      <c r="K42" s="357"/>
      <c r="L42" s="357"/>
      <c r="M42" s="358"/>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7"/>
      <c r="D43" s="357"/>
      <c r="E43" s="357"/>
      <c r="F43" s="357"/>
      <c r="G43" s="357"/>
      <c r="H43" s="357"/>
      <c r="I43" s="357"/>
      <c r="J43" s="357"/>
      <c r="K43" s="357"/>
      <c r="L43" s="357"/>
      <c r="M43" s="358"/>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7"/>
      <c r="D44" s="357"/>
      <c r="E44" s="357"/>
      <c r="F44" s="357"/>
      <c r="G44" s="357"/>
      <c r="H44" s="357"/>
      <c r="I44" s="357"/>
      <c r="J44" s="357"/>
      <c r="K44" s="357"/>
      <c r="L44" s="357"/>
      <c r="M44" s="358"/>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7"/>
      <c r="D45" s="357"/>
      <c r="E45" s="357"/>
      <c r="F45" s="357"/>
      <c r="G45" s="357"/>
      <c r="H45" s="357"/>
      <c r="I45" s="357"/>
      <c r="J45" s="357"/>
      <c r="K45" s="357"/>
      <c r="L45" s="357"/>
      <c r="M45" s="358"/>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7"/>
      <c r="D46" s="357"/>
      <c r="E46" s="357"/>
      <c r="F46" s="357"/>
      <c r="G46" s="357"/>
      <c r="H46" s="357"/>
      <c r="I46" s="357"/>
      <c r="J46" s="357"/>
      <c r="K46" s="357"/>
      <c r="L46" s="357"/>
      <c r="M46" s="358"/>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7"/>
      <c r="D47" s="357"/>
      <c r="E47" s="357"/>
      <c r="F47" s="357"/>
      <c r="G47" s="357"/>
      <c r="H47" s="357"/>
      <c r="I47" s="357"/>
      <c r="J47" s="357"/>
      <c r="K47" s="357"/>
      <c r="L47" s="357"/>
      <c r="M47" s="358"/>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7"/>
      <c r="D48" s="357"/>
      <c r="E48" s="357"/>
      <c r="F48" s="357"/>
      <c r="G48" s="357"/>
      <c r="H48" s="357"/>
      <c r="I48" s="357"/>
      <c r="J48" s="357"/>
      <c r="K48" s="357"/>
      <c r="L48" s="357"/>
      <c r="M48" s="358"/>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7"/>
      <c r="D49" s="357"/>
      <c r="E49" s="357"/>
      <c r="F49" s="357"/>
      <c r="G49" s="357"/>
      <c r="H49" s="357"/>
      <c r="I49" s="357"/>
      <c r="J49" s="357"/>
      <c r="K49" s="357"/>
      <c r="L49" s="357"/>
      <c r="M49" s="358"/>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7"/>
      <c r="D50" s="357"/>
      <c r="E50" s="357"/>
      <c r="F50" s="357"/>
      <c r="G50" s="357"/>
      <c r="H50" s="357"/>
      <c r="I50" s="357"/>
      <c r="J50" s="357"/>
      <c r="K50" s="357"/>
      <c r="L50" s="357"/>
      <c r="M50" s="358"/>
      <c r="N50" s="126"/>
      <c r="O50" s="126"/>
      <c r="P50" s="126"/>
      <c r="Q50" s="126"/>
      <c r="R50" s="126"/>
      <c r="S50" s="126"/>
      <c r="T50" s="126"/>
      <c r="U50" s="126"/>
      <c r="V50" s="126"/>
      <c r="W50" s="126"/>
      <c r="X50" s="126"/>
      <c r="Y50" s="126"/>
      <c r="Z50" s="126"/>
    </row>
    <row r="51" spans="1:256" x14ac:dyDescent="0.2">
      <c r="A51" s="218"/>
      <c r="B51" s="219"/>
      <c r="C51" s="357"/>
      <c r="D51" s="357"/>
      <c r="E51" s="357"/>
      <c r="F51" s="357"/>
      <c r="G51" s="357"/>
      <c r="H51" s="357"/>
      <c r="I51" s="357"/>
      <c r="J51" s="357"/>
      <c r="K51" s="357"/>
      <c r="L51" s="357"/>
      <c r="M51" s="358"/>
      <c r="N51" s="126"/>
      <c r="O51" s="126"/>
      <c r="P51" s="126"/>
      <c r="Q51" s="126"/>
      <c r="R51" s="126"/>
      <c r="S51" s="126"/>
      <c r="T51" s="126"/>
      <c r="U51" s="126"/>
      <c r="V51" s="126"/>
      <c r="W51" s="126"/>
      <c r="X51" s="126"/>
      <c r="Y51" s="126"/>
      <c r="Z51" s="126"/>
    </row>
    <row r="52" spans="1:256" x14ac:dyDescent="0.2">
      <c r="A52" s="218"/>
      <c r="B52" s="219"/>
      <c r="C52" s="357"/>
      <c r="D52" s="357"/>
      <c r="E52" s="357"/>
      <c r="F52" s="357"/>
      <c r="G52" s="357"/>
      <c r="H52" s="357"/>
      <c r="I52" s="357"/>
      <c r="J52" s="357"/>
      <c r="K52" s="357"/>
      <c r="L52" s="357"/>
      <c r="M52" s="358"/>
      <c r="N52" s="126"/>
      <c r="O52" s="126"/>
      <c r="P52" s="126"/>
      <c r="Q52" s="126"/>
      <c r="R52" s="126"/>
      <c r="S52" s="126"/>
      <c r="T52" s="126"/>
      <c r="U52" s="126"/>
      <c r="V52" s="126"/>
      <c r="W52" s="126"/>
      <c r="X52" s="126"/>
      <c r="Y52" s="126"/>
      <c r="Z52" s="126"/>
    </row>
    <row r="53" spans="1:256" x14ac:dyDescent="0.2">
      <c r="A53" s="218"/>
      <c r="B53" s="219"/>
      <c r="C53" s="357"/>
      <c r="D53" s="357"/>
      <c r="E53" s="357"/>
      <c r="F53" s="357"/>
      <c r="G53" s="357"/>
      <c r="H53" s="357"/>
      <c r="I53" s="357"/>
      <c r="J53" s="357"/>
      <c r="K53" s="357"/>
      <c r="L53" s="357"/>
      <c r="M53" s="358"/>
      <c r="N53" s="126"/>
      <c r="O53" s="126"/>
      <c r="P53" s="126"/>
      <c r="Q53" s="126"/>
      <c r="R53" s="126"/>
      <c r="S53" s="126"/>
      <c r="T53" s="126"/>
      <c r="U53" s="126"/>
      <c r="V53" s="126"/>
      <c r="W53" s="126"/>
      <c r="X53" s="126"/>
      <c r="Y53" s="126"/>
      <c r="Z53" s="126"/>
    </row>
    <row r="54" spans="1:256" x14ac:dyDescent="0.2">
      <c r="A54" s="218"/>
      <c r="B54" s="219"/>
      <c r="C54" s="357"/>
      <c r="D54" s="357"/>
      <c r="E54" s="357"/>
      <c r="F54" s="357"/>
      <c r="G54" s="357"/>
      <c r="H54" s="357"/>
      <c r="I54" s="357"/>
      <c r="J54" s="357"/>
      <c r="K54" s="357"/>
      <c r="L54" s="357"/>
      <c r="M54" s="358"/>
      <c r="N54" s="126"/>
      <c r="O54" s="126"/>
      <c r="P54" s="126"/>
      <c r="Q54" s="126"/>
      <c r="R54" s="126"/>
      <c r="S54" s="126"/>
      <c r="T54" s="126"/>
      <c r="U54" s="126"/>
      <c r="V54" s="126"/>
      <c r="W54" s="126"/>
      <c r="X54" s="126"/>
      <c r="Y54" s="126"/>
      <c r="Z54" s="126"/>
    </row>
    <row r="55" spans="1:256" x14ac:dyDescent="0.2">
      <c r="A55" s="218"/>
      <c r="B55" s="219"/>
      <c r="C55" s="357"/>
      <c r="D55" s="357"/>
      <c r="E55" s="357"/>
      <c r="F55" s="357"/>
      <c r="G55" s="357"/>
      <c r="H55" s="357"/>
      <c r="I55" s="357"/>
      <c r="J55" s="357"/>
      <c r="K55" s="357"/>
      <c r="L55" s="357"/>
      <c r="M55" s="358"/>
      <c r="N55" s="126"/>
      <c r="O55" s="126"/>
      <c r="P55" s="126"/>
      <c r="Q55" s="126"/>
      <c r="R55" s="126"/>
      <c r="S55" s="126"/>
      <c r="T55" s="126"/>
      <c r="U55" s="126"/>
      <c r="V55" s="126"/>
      <c r="W55" s="126"/>
      <c r="X55" s="126"/>
      <c r="Y55" s="126"/>
      <c r="Z55" s="126"/>
    </row>
    <row r="56" spans="1:256" x14ac:dyDescent="0.2">
      <c r="A56" s="218"/>
      <c r="B56" s="219"/>
      <c r="C56" s="357"/>
      <c r="D56" s="357"/>
      <c r="E56" s="357"/>
      <c r="F56" s="357"/>
      <c r="G56" s="357"/>
      <c r="H56" s="357"/>
      <c r="I56" s="357"/>
      <c r="J56" s="357"/>
      <c r="K56" s="357"/>
      <c r="L56" s="357"/>
      <c r="M56" s="358"/>
      <c r="N56" s="126"/>
      <c r="O56" s="126"/>
      <c r="P56" s="126"/>
      <c r="Q56" s="126"/>
      <c r="R56" s="126"/>
      <c r="S56" s="126"/>
      <c r="T56" s="126"/>
      <c r="U56" s="126"/>
      <c r="V56" s="126"/>
      <c r="W56" s="126"/>
      <c r="X56" s="126"/>
      <c r="Y56" s="126"/>
      <c r="Z56" s="126"/>
    </row>
    <row r="57" spans="1:256" x14ac:dyDescent="0.2">
      <c r="A57" s="218"/>
      <c r="B57" s="219"/>
      <c r="C57" s="357"/>
      <c r="D57" s="357"/>
      <c r="E57" s="357"/>
      <c r="F57" s="357"/>
      <c r="G57" s="357"/>
      <c r="H57" s="357"/>
      <c r="I57" s="357"/>
      <c r="J57" s="357"/>
      <c r="K57" s="357"/>
      <c r="L57" s="357"/>
      <c r="M57" s="358"/>
      <c r="N57" s="126"/>
      <c r="O57" s="126"/>
      <c r="P57" s="126"/>
      <c r="Q57" s="126"/>
      <c r="R57" s="126"/>
      <c r="S57" s="126"/>
      <c r="T57" s="126"/>
      <c r="U57" s="126"/>
      <c r="V57" s="126"/>
      <c r="W57" s="126"/>
      <c r="X57" s="126"/>
      <c r="Y57" s="126"/>
      <c r="Z57" s="126"/>
    </row>
    <row r="58" spans="1:256" x14ac:dyDescent="0.2">
      <c r="A58" s="218"/>
      <c r="B58" s="219"/>
      <c r="C58" s="357"/>
      <c r="D58" s="357"/>
      <c r="E58" s="357"/>
      <c r="F58" s="357"/>
      <c r="G58" s="357"/>
      <c r="H58" s="357"/>
      <c r="I58" s="357"/>
      <c r="J58" s="357"/>
      <c r="K58" s="357"/>
      <c r="L58" s="357"/>
      <c r="M58" s="358"/>
      <c r="N58" s="126"/>
      <c r="O58" s="126"/>
      <c r="P58" s="126"/>
      <c r="Q58" s="126"/>
      <c r="R58" s="126"/>
      <c r="S58" s="126"/>
      <c r="T58" s="126"/>
      <c r="U58" s="126"/>
      <c r="V58" s="126"/>
      <c r="W58" s="126"/>
      <c r="X58" s="126"/>
      <c r="Y58" s="126"/>
      <c r="Z58" s="126"/>
    </row>
    <row r="59" spans="1:256" x14ac:dyDescent="0.2">
      <c r="A59" s="218"/>
      <c r="B59" s="219"/>
      <c r="C59" s="357"/>
      <c r="D59" s="357"/>
      <c r="E59" s="357"/>
      <c r="F59" s="357"/>
      <c r="G59" s="357"/>
      <c r="H59" s="357"/>
      <c r="I59" s="357"/>
      <c r="J59" s="357"/>
      <c r="K59" s="357"/>
      <c r="L59" s="357"/>
      <c r="M59" s="358"/>
    </row>
    <row r="60" spans="1:256" x14ac:dyDescent="0.2">
      <c r="A60" s="218"/>
      <c r="B60" s="219"/>
      <c r="C60" s="357"/>
      <c r="D60" s="357"/>
      <c r="E60" s="357"/>
      <c r="F60" s="357"/>
      <c r="G60" s="357"/>
      <c r="H60" s="357"/>
      <c r="I60" s="357"/>
      <c r="J60" s="357"/>
      <c r="K60" s="357"/>
      <c r="L60" s="357"/>
      <c r="M60" s="358"/>
    </row>
    <row r="61" spans="1:256" x14ac:dyDescent="0.2">
      <c r="A61" s="218"/>
      <c r="B61" s="219"/>
      <c r="C61" s="357"/>
      <c r="D61" s="357"/>
      <c r="E61" s="357"/>
      <c r="F61" s="357"/>
      <c r="G61" s="357"/>
      <c r="H61" s="357"/>
      <c r="I61" s="357"/>
      <c r="J61" s="357"/>
      <c r="K61" s="357"/>
      <c r="L61" s="357"/>
      <c r="M61" s="358"/>
    </row>
    <row r="62" spans="1:256" x14ac:dyDescent="0.2">
      <c r="A62" s="218"/>
      <c r="B62" s="219"/>
      <c r="C62" s="357"/>
      <c r="D62" s="357"/>
      <c r="E62" s="357"/>
      <c r="F62" s="357"/>
      <c r="G62" s="357"/>
      <c r="H62" s="357"/>
      <c r="I62" s="357"/>
      <c r="J62" s="357"/>
      <c r="K62" s="357"/>
      <c r="L62" s="357"/>
      <c r="M62" s="358"/>
    </row>
    <row r="63" spans="1:256" x14ac:dyDescent="0.2">
      <c r="A63" s="218"/>
      <c r="B63" s="219"/>
      <c r="C63" s="357"/>
      <c r="D63" s="357"/>
      <c r="E63" s="357"/>
      <c r="F63" s="357"/>
      <c r="G63" s="357"/>
      <c r="H63" s="357"/>
      <c r="I63" s="357"/>
      <c r="J63" s="357"/>
      <c r="K63" s="357"/>
      <c r="L63" s="357"/>
      <c r="M63" s="358"/>
    </row>
    <row r="64" spans="1:256" x14ac:dyDescent="0.2">
      <c r="A64" s="218"/>
      <c r="B64" s="219"/>
      <c r="C64" s="357"/>
      <c r="D64" s="357"/>
      <c r="E64" s="357"/>
      <c r="F64" s="357"/>
      <c r="G64" s="357"/>
      <c r="H64" s="357"/>
      <c r="I64" s="357"/>
      <c r="J64" s="357"/>
      <c r="K64" s="357"/>
      <c r="L64" s="357"/>
      <c r="M64" s="358"/>
    </row>
    <row r="65" spans="1:13" x14ac:dyDescent="0.2">
      <c r="A65" s="218"/>
      <c r="B65" s="219"/>
      <c r="C65" s="357"/>
      <c r="D65" s="357"/>
      <c r="E65" s="357"/>
      <c r="F65" s="357"/>
      <c r="G65" s="357"/>
      <c r="H65" s="357"/>
      <c r="I65" s="357"/>
      <c r="J65" s="357"/>
      <c r="K65" s="357"/>
      <c r="L65" s="357"/>
      <c r="M65" s="358"/>
    </row>
    <row r="66" spans="1:13" x14ac:dyDescent="0.2">
      <c r="A66" s="218"/>
      <c r="B66" s="219"/>
      <c r="C66" s="357"/>
      <c r="D66" s="357"/>
      <c r="E66" s="357"/>
      <c r="F66" s="357"/>
      <c r="G66" s="357"/>
      <c r="H66" s="357"/>
      <c r="I66" s="357"/>
      <c r="J66" s="357"/>
      <c r="K66" s="357"/>
      <c r="L66" s="357"/>
      <c r="M66" s="358"/>
    </row>
    <row r="67" spans="1:13" x14ac:dyDescent="0.2">
      <c r="A67" s="218"/>
      <c r="B67" s="219"/>
      <c r="C67" s="357"/>
      <c r="D67" s="357"/>
      <c r="E67" s="357"/>
      <c r="F67" s="357"/>
      <c r="G67" s="357"/>
      <c r="H67" s="357"/>
      <c r="I67" s="357"/>
      <c r="J67" s="357"/>
      <c r="K67" s="357"/>
      <c r="L67" s="357"/>
      <c r="M67" s="358"/>
    </row>
    <row r="68" spans="1:13" x14ac:dyDescent="0.2">
      <c r="A68" s="218"/>
      <c r="B68" s="219"/>
      <c r="C68" s="357"/>
      <c r="D68" s="357"/>
      <c r="E68" s="357"/>
      <c r="F68" s="357"/>
      <c r="G68" s="357"/>
      <c r="H68" s="357"/>
      <c r="I68" s="357"/>
      <c r="J68" s="357"/>
      <c r="K68" s="357"/>
      <c r="L68" s="357"/>
      <c r="M68" s="358"/>
    </row>
    <row r="69" spans="1:13" x14ac:dyDescent="0.2">
      <c r="A69" s="218"/>
      <c r="B69" s="219"/>
      <c r="C69" s="357"/>
      <c r="D69" s="357"/>
      <c r="E69" s="357"/>
      <c r="F69" s="357"/>
      <c r="G69" s="357"/>
      <c r="H69" s="357"/>
      <c r="I69" s="357"/>
      <c r="J69" s="357"/>
      <c r="K69" s="357"/>
      <c r="L69" s="357"/>
      <c r="M69" s="358"/>
    </row>
    <row r="70" spans="1:13" ht="12" thickBot="1" x14ac:dyDescent="0.25">
      <c r="A70" s="220"/>
      <c r="B70" s="221"/>
      <c r="C70" s="370"/>
      <c r="D70" s="370"/>
      <c r="E70" s="370"/>
      <c r="F70" s="370"/>
      <c r="G70" s="370"/>
      <c r="H70" s="370"/>
      <c r="I70" s="370"/>
      <c r="J70" s="370"/>
      <c r="K70" s="370"/>
      <c r="L70" s="370"/>
      <c r="M70" s="371"/>
    </row>
    <row r="71" spans="1:13" ht="12" thickTop="1" x14ac:dyDescent="0.2">
      <c r="A71" s="208"/>
      <c r="B71" s="208"/>
      <c r="C71" s="209"/>
      <c r="D71" s="209"/>
      <c r="E71" s="209"/>
      <c r="F71" s="209"/>
      <c r="G71" s="209"/>
      <c r="H71" s="209"/>
      <c r="I71" s="209"/>
      <c r="J71" s="209"/>
      <c r="K71" s="209"/>
      <c r="L71" s="209"/>
    </row>
    <row r="72" spans="1:13" ht="12.75" x14ac:dyDescent="0.2">
      <c r="A72" s="372" t="s">
        <v>832</v>
      </c>
      <c r="B72" s="372"/>
      <c r="C72" s="372"/>
      <c r="D72" s="372"/>
      <c r="E72" s="372"/>
      <c r="F72" s="126"/>
      <c r="G72" s="126"/>
      <c r="H72" s="126"/>
      <c r="I72" s="126"/>
      <c r="J72" s="126"/>
      <c r="K72" s="126"/>
      <c r="L72" s="126"/>
      <c r="M72" s="126"/>
    </row>
    <row r="73" spans="1:13" x14ac:dyDescent="0.2">
      <c r="A73" s="210" t="s">
        <v>764</v>
      </c>
      <c r="B73" s="210" t="s">
        <v>765</v>
      </c>
      <c r="C73" s="369"/>
      <c r="D73" s="369"/>
      <c r="E73" s="369"/>
      <c r="F73" s="369"/>
      <c r="G73" s="369"/>
      <c r="H73" s="369"/>
      <c r="I73" s="369"/>
      <c r="J73" s="369"/>
      <c r="K73" s="369"/>
      <c r="L73" s="369"/>
      <c r="M73" s="369"/>
    </row>
    <row r="74" spans="1:13" x14ac:dyDescent="0.2">
      <c r="A74" s="211"/>
      <c r="B74" s="211"/>
      <c r="C74" s="369"/>
      <c r="D74" s="369"/>
      <c r="E74" s="369"/>
      <c r="F74" s="369"/>
      <c r="G74" s="369"/>
      <c r="H74" s="369"/>
      <c r="I74" s="369"/>
      <c r="J74" s="369"/>
      <c r="K74" s="369"/>
      <c r="L74" s="369"/>
      <c r="M74" s="369"/>
    </row>
    <row r="75" spans="1:13" x14ac:dyDescent="0.2">
      <c r="A75" s="211"/>
      <c r="B75" s="211"/>
      <c r="C75" s="369"/>
      <c r="D75" s="369"/>
      <c r="E75" s="369"/>
      <c r="F75" s="369"/>
      <c r="G75" s="369"/>
      <c r="H75" s="369"/>
      <c r="I75" s="369"/>
      <c r="J75" s="369"/>
      <c r="K75" s="369"/>
      <c r="L75" s="369"/>
      <c r="M75" s="369"/>
    </row>
    <row r="76" spans="1:13" x14ac:dyDescent="0.2">
      <c r="A76" s="211"/>
      <c r="B76" s="211"/>
      <c r="C76" s="369"/>
      <c r="D76" s="369"/>
      <c r="E76" s="369"/>
      <c r="F76" s="369"/>
      <c r="G76" s="369"/>
      <c r="H76" s="369"/>
      <c r="I76" s="369"/>
      <c r="J76" s="369"/>
      <c r="K76" s="369"/>
      <c r="L76" s="369"/>
      <c r="M76" s="369"/>
    </row>
    <row r="77" spans="1:13" x14ac:dyDescent="0.2">
      <c r="A77" s="211"/>
      <c r="B77" s="211"/>
      <c r="C77" s="369"/>
      <c r="D77" s="369"/>
      <c r="E77" s="369"/>
      <c r="F77" s="369"/>
      <c r="G77" s="369"/>
      <c r="H77" s="369"/>
      <c r="I77" s="369"/>
      <c r="J77" s="369"/>
      <c r="K77" s="369"/>
      <c r="L77" s="369"/>
      <c r="M77" s="369"/>
    </row>
    <row r="78" spans="1:13" x14ac:dyDescent="0.2">
      <c r="A78" s="211"/>
      <c r="B78" s="211"/>
      <c r="C78" s="369"/>
      <c r="D78" s="369"/>
      <c r="E78" s="369"/>
      <c r="F78" s="369"/>
      <c r="G78" s="369"/>
      <c r="H78" s="369"/>
      <c r="I78" s="369"/>
      <c r="J78" s="369"/>
      <c r="K78" s="369"/>
      <c r="L78" s="369"/>
      <c r="M78" s="369"/>
    </row>
    <row r="79" spans="1:13" x14ac:dyDescent="0.2">
      <c r="A79" s="211"/>
      <c r="B79" s="211"/>
      <c r="C79" s="369"/>
      <c r="D79" s="369"/>
      <c r="E79" s="369"/>
      <c r="F79" s="369"/>
      <c r="G79" s="369"/>
      <c r="H79" s="369"/>
      <c r="I79" s="369"/>
      <c r="J79" s="369"/>
      <c r="K79" s="369"/>
      <c r="L79" s="369"/>
      <c r="M79" s="369"/>
    </row>
    <row r="80" spans="1:13" x14ac:dyDescent="0.2">
      <c r="A80" s="211"/>
      <c r="B80" s="211"/>
      <c r="C80" s="369"/>
      <c r="D80" s="369"/>
      <c r="E80" s="369"/>
      <c r="F80" s="369"/>
      <c r="G80" s="369"/>
      <c r="H80" s="369"/>
      <c r="I80" s="369"/>
      <c r="J80" s="369"/>
      <c r="K80" s="369"/>
      <c r="L80" s="369"/>
      <c r="M80" s="369"/>
    </row>
    <row r="81" spans="1:13" x14ac:dyDescent="0.2">
      <c r="A81" s="211"/>
      <c r="B81" s="211"/>
      <c r="C81" s="369"/>
      <c r="D81" s="369"/>
      <c r="E81" s="369"/>
      <c r="F81" s="369"/>
      <c r="G81" s="369"/>
      <c r="H81" s="369"/>
      <c r="I81" s="369"/>
      <c r="J81" s="369"/>
      <c r="K81" s="369"/>
      <c r="L81" s="369"/>
      <c r="M81" s="369"/>
    </row>
    <row r="82" spans="1:13" x14ac:dyDescent="0.2">
      <c r="A82" s="211"/>
      <c r="B82" s="211"/>
      <c r="C82" s="369"/>
      <c r="D82" s="369"/>
      <c r="E82" s="369"/>
      <c r="F82" s="369"/>
      <c r="G82" s="369"/>
      <c r="H82" s="369"/>
      <c r="I82" s="369"/>
      <c r="J82" s="369"/>
      <c r="K82" s="369"/>
      <c r="L82" s="369"/>
      <c r="M82" s="369"/>
    </row>
    <row r="83" spans="1:13" x14ac:dyDescent="0.2">
      <c r="A83" s="211"/>
      <c r="B83" s="211"/>
      <c r="C83" s="369"/>
      <c r="D83" s="369"/>
      <c r="E83" s="369"/>
      <c r="F83" s="369"/>
      <c r="G83" s="369"/>
      <c r="H83" s="369"/>
      <c r="I83" s="369"/>
      <c r="J83" s="369"/>
      <c r="K83" s="369"/>
      <c r="L83" s="369"/>
      <c r="M83" s="369"/>
    </row>
    <row r="84" spans="1:13" x14ac:dyDescent="0.2">
      <c r="A84" s="211"/>
      <c r="B84" s="211"/>
      <c r="C84" s="369"/>
      <c r="D84" s="369"/>
      <c r="E84" s="369"/>
      <c r="F84" s="369"/>
      <c r="G84" s="369"/>
      <c r="H84" s="369"/>
      <c r="I84" s="369"/>
      <c r="J84" s="369"/>
      <c r="K84" s="369"/>
      <c r="L84" s="369"/>
      <c r="M84" s="369"/>
    </row>
    <row r="85" spans="1:13" x14ac:dyDescent="0.2">
      <c r="A85" s="211"/>
      <c r="B85" s="211"/>
      <c r="C85" s="369"/>
      <c r="D85" s="369"/>
      <c r="E85" s="369"/>
      <c r="F85" s="369"/>
      <c r="G85" s="369"/>
      <c r="H85" s="369"/>
      <c r="I85" s="369"/>
      <c r="J85" s="369"/>
      <c r="K85" s="369"/>
      <c r="L85" s="369"/>
      <c r="M85" s="369"/>
    </row>
    <row r="86" spans="1:13" x14ac:dyDescent="0.2">
      <c r="A86" s="211"/>
      <c r="B86" s="211"/>
      <c r="C86" s="369"/>
      <c r="D86" s="369"/>
      <c r="E86" s="369"/>
      <c r="F86" s="369"/>
      <c r="G86" s="369"/>
      <c r="H86" s="369"/>
      <c r="I86" s="369"/>
      <c r="J86" s="369"/>
      <c r="K86" s="369"/>
      <c r="L86" s="369"/>
      <c r="M86" s="369"/>
    </row>
    <row r="87" spans="1:13" x14ac:dyDescent="0.2">
      <c r="A87" s="211"/>
      <c r="B87" s="211"/>
      <c r="C87" s="369"/>
      <c r="D87" s="369"/>
      <c r="E87" s="369"/>
      <c r="F87" s="369"/>
      <c r="G87" s="369"/>
      <c r="H87" s="369"/>
      <c r="I87" s="369"/>
      <c r="J87" s="369"/>
      <c r="K87" s="369"/>
      <c r="L87" s="369"/>
      <c r="M87" s="369"/>
    </row>
    <row r="88" spans="1:13" x14ac:dyDescent="0.2">
      <c r="A88" s="211"/>
      <c r="B88" s="211"/>
      <c r="C88" s="369"/>
      <c r="D88" s="369"/>
      <c r="E88" s="369"/>
      <c r="F88" s="369"/>
      <c r="G88" s="369"/>
      <c r="H88" s="369"/>
      <c r="I88" s="369"/>
      <c r="J88" s="369"/>
      <c r="K88" s="369"/>
      <c r="L88" s="369"/>
      <c r="M88" s="369"/>
    </row>
    <row r="89" spans="1:13" x14ac:dyDescent="0.2">
      <c r="A89" s="211"/>
      <c r="B89" s="211"/>
      <c r="C89" s="369"/>
      <c r="D89" s="369"/>
      <c r="E89" s="369"/>
      <c r="F89" s="369"/>
      <c r="G89" s="369"/>
      <c r="H89" s="369"/>
      <c r="I89" s="369"/>
      <c r="J89" s="369"/>
      <c r="K89" s="369"/>
      <c r="L89" s="369"/>
      <c r="M89" s="369"/>
    </row>
    <row r="90" spans="1:13" x14ac:dyDescent="0.2">
      <c r="A90" s="211"/>
      <c r="B90" s="211"/>
      <c r="C90" s="369"/>
      <c r="D90" s="369"/>
      <c r="E90" s="369"/>
      <c r="F90" s="369"/>
      <c r="G90" s="369"/>
      <c r="H90" s="369"/>
      <c r="I90" s="369"/>
      <c r="J90" s="369"/>
      <c r="K90" s="369"/>
      <c r="L90" s="369"/>
      <c r="M90" s="369"/>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2020-08-31T13:15:14Z</cp:lastPrinted>
  <dcterms:created xsi:type="dcterms:W3CDTF">1997-12-04T19:04:30Z</dcterms:created>
  <dcterms:modified xsi:type="dcterms:W3CDTF">2020-12-11T20:46:19Z</dcterms:modified>
</cp:coreProperties>
</file>