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C20" i="12" l="1"/>
  <c r="C19" i="12"/>
  <c r="C11" i="12"/>
  <c r="C10" i="12"/>
  <c r="G110" i="1"/>
  <c r="K264" i="1"/>
  <c r="J593" i="1"/>
  <c r="I524" i="1"/>
  <c r="I523" i="1"/>
  <c r="I522" i="1"/>
  <c r="G524" i="1"/>
  <c r="G523" i="1"/>
  <c r="G522" i="1"/>
  <c r="F524" i="1"/>
  <c r="F523" i="1"/>
  <c r="F522" i="1"/>
  <c r="J469" i="1" l="1"/>
  <c r="H154" i="1"/>
  <c r="F28" i="1"/>
  <c r="F57"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E110" i="2" s="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J572" i="1"/>
  <c r="I170" i="1"/>
  <c r="J140" i="1"/>
  <c r="H140" i="1"/>
  <c r="A40" i="12" l="1"/>
  <c r="J652" i="1"/>
  <c r="G553" i="1"/>
  <c r="H477" i="1"/>
  <c r="H625" i="1" s="1"/>
  <c r="L402" i="1"/>
  <c r="C139" i="2" s="1"/>
  <c r="E124" i="2"/>
  <c r="E120" i="2"/>
  <c r="E121" i="2"/>
  <c r="E123" i="2"/>
  <c r="K339" i="1"/>
  <c r="K353" i="1" s="1"/>
  <c r="E119" i="2"/>
  <c r="C13" i="10"/>
  <c r="G339" i="1"/>
  <c r="G353" i="1" s="1"/>
  <c r="C20" i="10"/>
  <c r="E112" i="2"/>
  <c r="D50" i="2"/>
  <c r="G662" i="1"/>
  <c r="L257" i="1"/>
  <c r="E13" i="13"/>
  <c r="C13" i="13" s="1"/>
  <c r="C112" i="2"/>
  <c r="F258" i="1"/>
  <c r="C119" i="2"/>
  <c r="C110" i="2"/>
  <c r="J258" i="1"/>
  <c r="C121" i="2"/>
  <c r="C120" i="2"/>
  <c r="C11" i="10"/>
  <c r="F339" i="1"/>
  <c r="F353" i="1" s="1"/>
  <c r="J642" i="1"/>
  <c r="L561" i="1"/>
  <c r="J625"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C81" i="2" l="1"/>
  <c r="C141" i="2"/>
  <c r="E115" i="2"/>
  <c r="E128" i="2"/>
  <c r="E145" i="2" s="1"/>
  <c r="G24" i="14"/>
  <c r="H24" i="14" s="1"/>
  <c r="I24" i="14" s="1"/>
  <c r="G36" i="14"/>
  <c r="H36" i="14" s="1"/>
  <c r="I36" i="14" s="1"/>
  <c r="H649" i="1"/>
  <c r="J649" i="1" s="1"/>
  <c r="F661" i="1"/>
  <c r="F665" i="1" s="1"/>
  <c r="F668" i="1" s="1"/>
  <c r="D51" i="2"/>
  <c r="E51" i="2"/>
  <c r="H661" i="1"/>
  <c r="H665" i="1" s="1"/>
  <c r="H668" i="1" s="1"/>
  <c r="J272" i="1"/>
  <c r="F194" i="1"/>
  <c r="G628" i="1" s="1"/>
  <c r="J628"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<sst xmlns="http://schemas.openxmlformats.org/spreadsheetml/2006/main" count="5547" uniqueCount="1644">
  <si>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</si>
  <si>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</si>
  <si>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</si>
  <si>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</si>
  <si>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</si>
  <si>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</si>
  <si>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</si>
  <si>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</si>
  <si>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</si>
  <si>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</si>
  <si>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</si>
  <si>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</si>
  <si>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</si>
  <si>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</si>
  <si>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</si>
  <si>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</si>
  <si>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</si>
  <si>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</si>
  <si>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</si>
  <si>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</si>
  <si>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</si>
  <si>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</si>
  <si>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</si>
  <si>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</si>
  <si>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</si>
  <si>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</si>
  <si>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</si>
  <si>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</si>
  <si>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</si>
  <si>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</si>
  <si>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</si>
  <si>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</si>
  <si>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</si>
  <si>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</si>
  <si>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</si>
  <si>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</si>
  <si>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</si>
  <si>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</si>
  <si>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</si>
  <si>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</si>
  <si>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</si>
  <si>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</si>
  <si>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</si>
  <si>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</si>
  <si>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</si>
  <si>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</si>
  <si>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</si>
  <si>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</si>
  <si>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</si>
  <si>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</si>
  <si>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</si>
  <si>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</si>
  <si>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</si>
  <si>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</si>
  <si>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</si>
  <si>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</si>
  <si>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</si>
  <si>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</si>
  <si>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</si>
  <si>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</si>
  <si>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</si>
  <si>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</si>
  <si>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</si>
  <si>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</si>
  <si>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</si>
  <si>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</si>
  <si>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</si>
  <si>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</si>
  <si>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</si>
  <si>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</si>
  <si>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</si>
  <si>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</si>
  <si>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</si>
  <si>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</si>
  <si>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</si>
  <si>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</si>
  <si>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</si>
  <si>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</si>
  <si>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</si>
  <si>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</si>
  <si>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</si>
  <si>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</si>
  <si>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</si>
  <si>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</si>
  <si>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</si>
  <si>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</si>
  <si>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</si>
  <si>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</si>
  <si>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</si>
  <si>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</si>
  <si>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</si>
  <si>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</si>
  <si>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</si>
  <si>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</si>
  <si>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</si>
  <si>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</si>
  <si>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</si>
  <si>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</si>
  <si>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</si>
  <si>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</si>
  <si>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</si>
  <si>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</si>
  <si>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</si>
  <si>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</si>
  <si>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</si>
  <si>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</si>
  <si>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</si>
  <si>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</si>
  <si>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</si>
  <si>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</si>
  <si>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</si>
  <si>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</si>
  <si>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</si>
  <si>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</si>
  <si>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</si>
  <si>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</si>
  <si>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</si>
  <si>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</si>
  <si>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</si>
  <si>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</si>
  <si>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</si>
  <si>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</si>
  <si>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</si>
  <si>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</si>
  <si>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</si>
  <si>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</si>
  <si>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</si>
  <si>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</si>
  <si>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</si>
  <si>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</si>
  <si>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</si>
  <si>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</si>
  <si>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</si>
  <si>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</si>
  <si>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</si>
  <si>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</si>
  <si>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</si>
  <si>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</si>
  <si>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</si>
  <si>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</si>
  <si>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</si>
  <si>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</si>
  <si>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</si>
  <si>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</si>
  <si>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</si>
  <si>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</si>
  <si>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</si>
  <si>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</si>
  <si>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</si>
  <si>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</si>
  <si>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</si>
  <si>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</si>
  <si>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</si>
  <si>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</si>
  <si>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</si>
  <si>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</si>
  <si>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</si>
  <si>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</si>
  <si>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</si>
  <si>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</si>
  <si>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</si>
  <si>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</si>
  <si>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</si>
  <si>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</si>
  <si>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</si>
  <si>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</si>
  <si>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</si>
  <si>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</si>
  <si>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</si>
  <si>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</si>
  <si>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</si>
  <si>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</si>
  <si>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</si>
  <si>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</si>
  <si>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</si>
  <si>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</si>
  <si>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</si>
  <si>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</si>
  <si>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</si>
  <si>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</si>
  <si>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</si>
  <si>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</si>
  <si>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</si>
  <si>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</si>
  <si>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</si>
  <si>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</si>
  <si>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</si>
  <si>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</si>
  <si>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</si>
  <si>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</si>
  <si>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</si>
  <si>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</si>
  <si>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</si>
  <si>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</si>
  <si>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</si>
  <si>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</si>
  <si>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</si>
  <si>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</si>
  <si>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</si>
  <si>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</si>
  <si>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</si>
  <si>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</si>
  <si>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</si>
  <si>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</si>
  <si>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</si>
  <si>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</si>
  <si>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</si>
  <si>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</si>
  <si>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</si>
  <si>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</si>
  <si>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</si>
  <si>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</si>
  <si>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</si>
  <si>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</si>
  <si>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</si>
  <si>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</si>
  <si>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</si>
  <si>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</si>
  <si>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</si>
  <si>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</si>
  <si>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</si>
  <si>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</si>
  <si>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</si>
  <si>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</si>
  <si>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</si>
  <si>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</si>
  <si>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</si>
  <si>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</si>
  <si>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</si>
  <si>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</si>
  <si>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</si>
  <si>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</si>
  <si>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</si>
  <si>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</si>
  <si>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</si>
  <si>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</si>
  <si>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</si>
  <si>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</si>
  <si>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</si>
  <si>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</si>
  <si>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</si>
  <si>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</si>
  <si>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</si>
  <si>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</si>
  <si>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</si>
  <si>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</si>
  <si>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</si>
  <si>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</si>
  <si>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</si>
  <si>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</si>
  <si>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</si>
  <si>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</si>
  <si>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</si>
  <si>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</si>
  <si>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</si>
  <si>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</si>
  <si>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</si>
  <si>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</si>
  <si>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</si>
  <si>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</si>
  <si>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</si>
  <si>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</si>
  <si>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</si>
  <si>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</si>
  <si>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</si>
  <si>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</si>
  <si>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</si>
  <si>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</si>
  <si>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</si>
  <si>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</si>
  <si>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</si>
  <si>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</si>
  <si>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</si>
  <si>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</si>
  <si>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</si>
  <si>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</si>
  <si>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</si>
  <si>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</si>
  <si>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</si>
  <si>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</si>
  <si>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</si>
  <si>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</si>
  <si>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</si>
  <si>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</si>
  <si>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</si>
  <si>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</si>
  <si>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</si>
  <si>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</si>
  <si>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</si>
  <si>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</si>
  <si>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</si>
  <si>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</si>
  <si>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</si>
  <si>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</si>
  <si>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</si>
  <si>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</si>
  <si>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</si>
  <si>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</si>
  <si>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</si>
  <si>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</si>
  <si>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</si>
  <si>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</si>
  <si>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</si>
  <si>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</si>
  <si>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</si>
  <si>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</si>
  <si>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</si>
  <si>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</si>
  <si>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</si>
  <si>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</si>
  <si>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</si>
  <si>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</si>
  <si>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</si>
  <si>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</si>
  <si>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</si>
  <si>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</si>
  <si>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</si>
  <si>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</si>
  <si>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</si>
  <si>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</si>
  <si>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</si>
  <si>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</si>
  <si>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</si>
  <si>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</si>
  <si>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</si>
  <si>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</si>
  <si>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</si>
  <si>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</si>
  <si>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</si>
  <si>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</si>
  <si>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</si>
  <si>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</si>
  <si>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</si>
  <si>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</si>
  <si>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</si>
  <si>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</si>
  <si>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</si>
  <si>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</si>
  <si>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</si>
  <si>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</si>
  <si>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</si>
  <si>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</si>
  <si>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</si>
  <si>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</si>
  <si>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</si>
  <si>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</si>
  <si>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</si>
  <si>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</si>
  <si>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</si>
  <si>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</si>
  <si>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</si>
  <si>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</si>
  <si>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</si>
  <si>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</si>
  <si>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</si>
  <si>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</si>
  <si>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</si>
  <si>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</si>
  <si>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</si>
  <si>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</si>
  <si>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</si>
  <si>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</si>
  <si>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</si>
  <si>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</si>
  <si>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</si>
  <si>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</si>
  <si>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</si>
  <si>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</si>
  <si>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</si>
  <si>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</si>
  <si>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</si>
  <si>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</si>
  <si>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</si>
  <si>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</si>
  <si>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</si>
  <si>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</si>
  <si>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</si>
  <si>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</si>
  <si>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</si>
  <si>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</si>
  <si>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</si>
  <si>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</si>
  <si>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</si>
  <si>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</si>
  <si>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</si>
  <si>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</si>
  <si>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</si>
  <si>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</si>
  <si>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</si>
  <si>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</si>
  <si>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</si>
  <si>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</si>
  <si>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</si>
  <si>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</si>
  <si>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</si>
  <si>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</si>
  <si>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</si>
  <si>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</si>
  <si>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</si>
  <si>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</si>
  <si>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</si>
  <si>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</si>
  <si>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</si>
  <si>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</si>
  <si>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</si>
  <si>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</si>
  <si>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</si>
  <si>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</si>
  <si>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</si>
  <si>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</si>
  <si>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</si>
  <si>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</si>
  <si>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</si>
  <si>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</si>
  <si>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</si>
  <si>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</si>
  <si>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</si>
  <si>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</si>
  <si>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</si>
  <si>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</si>
  <si>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</si>
  <si>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</si>
  <si>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</si>
  <si>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</si>
  <si>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</si>
  <si>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</si>
  <si>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</si>
  <si>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</si>
  <si>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</si>
  <si>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</si>
  <si>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</si>
  <si>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</si>
  <si>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</si>
  <si>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</si>
  <si>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</si>
  <si>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</si>
  <si>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</si>
  <si>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</si>
  <si>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</si>
  <si>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</si>
  <si>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</si>
  <si>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</si>
  <si>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</si>
  <si>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</si>
  <si>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</si>
  <si>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</si>
  <si>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</si>
  <si>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</si>
  <si>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</si>
  <si>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</si>
  <si>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</si>
  <si>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</si>
  <si>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</si>
  <si>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</si>
  <si>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</si>
  <si>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</si>
  <si>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</si>
  <si>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</si>
  <si>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</si>
  <si>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</si>
  <si>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</si>
  <si>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</si>
  <si>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</si>
  <si>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</si>
  <si>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</si>
  <si>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</si>
  <si>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</si>
  <si>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</si>
  <si>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</si>
  <si>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</si>
  <si>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</si>
  <si>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</si>
  <si>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</si>
  <si>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</si>
  <si>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</si>
  <si>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</si>
  <si>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</si>
  <si>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</si>
  <si>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</si>
  <si>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</si>
  <si>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</si>
  <si>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</si>
  <si>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</si>
  <si>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</si>
  <si>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</si>
  <si>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</si>
  <si>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</si>
  <si>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</si>
  <si>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</si>
  <si>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</si>
  <si>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</si>
  <si>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</si>
  <si>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</si>
  <si>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</si>
  <si>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</si>
  <si>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</si>
  <si>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</si>
  <si>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</si>
  <si>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</si>
  <si>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</si>
  <si>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</si>
  <si>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</si>
  <si>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</si>
  <si>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</si>
  <si>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</si>
  <si>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</si>
  <si>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</si>
  <si>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</si>
  <si>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</si>
  <si>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</si>
  <si>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</si>
  <si>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</si>
  <si>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</si>
  <si>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</si>
  <si>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</si>
  <si>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</si>
  <si>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</si>
  <si>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</si>
  <si>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</si>
  <si>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</si>
  <si>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</si>
  <si>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</si>
  <si>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</si>
  <si>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</si>
  <si>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</si>
  <si>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</si>
  <si>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</si>
  <si>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</si>
  <si>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</si>
  <si>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</si>
  <si>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</si>
  <si>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</si>
  <si>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</si>
  <si>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</si>
  <si>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</si>
  <si>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</si>
  <si>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</si>
  <si>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</si>
  <si>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</si>
  <si>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</si>
  <si>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</si>
  <si>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</si>
  <si>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</si>
  <si>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</si>
  <si>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</si>
  <si>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</si>
  <si>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</si>
  <si>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</si>
  <si>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</si>
  <si>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</si>
  <si>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</si>
  <si>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</si>
  <si>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</si>
  <si>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</si>
  <si>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</si>
  <si>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</si>
  <si>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</si>
  <si>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</si>
  <si>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</si>
  <si>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</si>
  <si>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</si>
  <si>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</si>
  <si>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</si>
  <si>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</si>
  <si>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</si>
  <si>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</si>
  <si>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</si>
  <si>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</si>
  <si>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</si>
  <si>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</si>
  <si>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</si>
  <si>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</si>
  <si>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</si>
  <si>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</si>
  <si>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</si>
  <si>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</si>
  <si>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</si>
  <si>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</si>
  <si>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</si>
  <si>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</si>
  <si>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</si>
  <si>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</si>
  <si>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</si>
  <si>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</si>
  <si>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</si>
  <si>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</si>
  <si>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</si>
  <si>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</si>
  <si>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</si>
  <si>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</si>
  <si>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</si>
  <si>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</si>
  <si>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</si>
  <si>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</si>
  <si>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</si>
  <si>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</si>
  <si>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</si>
  <si>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</si>
  <si>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</si>
  <si>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</si>
  <si>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</si>
  <si>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</si>
  <si>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</si>
  <si>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</si>
  <si>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</si>
  <si>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</si>
  <si>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</si>
  <si>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</si>
  <si>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</si>
  <si>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</si>
  <si>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</si>
  <si>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</si>
  <si>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</si>
  <si>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</si>
  <si>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</si>
  <si>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</si>
  <si>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</si>
  <si>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</si>
  <si>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</si>
  <si>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</si>
  <si>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</si>
  <si>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</si>
  <si>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</si>
  <si>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</si>
  <si>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</si>
  <si>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</si>
  <si>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</si>
  <si>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</si>
  <si>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</si>
  <si>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</si>
  <si>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</si>
  <si>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</si>
  <si>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</si>
  <si>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</si>
  <si>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</si>
  <si>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</si>
  <si>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</si>
  <si>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</si>
  <si>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</si>
  <si>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</si>
  <si>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</si>
  <si>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</si>
  <si>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</si>
  <si>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</si>
  <si>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</si>
  <si>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</si>
  <si>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</si>
  <si>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</si>
  <si>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</si>
  <si>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</si>
  <si>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</si>
  <si>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</si>
  <si>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</si>
  <si>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</si>
  <si>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</si>
  <si>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</si>
  <si>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</si>
  <si>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</si>
  <si>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</si>
  <si>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</si>
  <si>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</si>
  <si>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</si>
  <si>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</si>
  <si>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</si>
  <si>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</si>
  <si>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</si>
  <si>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</si>
  <si>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</si>
  <si>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</si>
  <si>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</si>
  <si>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</si>
  <si>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</si>
  <si>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</si>
  <si>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</si>
  <si>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</si>
  <si>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</si>
  <si>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</si>
  <si>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</si>
  <si>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</si>
  <si>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</si>
  <si>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</si>
  <si>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</si>
  <si>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</si>
  <si>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</si>
  <si>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</si>
  <si>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</si>
  <si>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</si>
  <si>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</si>
  <si>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</si>
  <si>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</si>
  <si>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</si>
  <si>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</si>
  <si>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</si>
  <si>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</si>
  <si>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</si>
  <si>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</si>
  <si>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</si>
  <si>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</si>
  <si>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</si>
  <si>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</si>
  <si>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</si>
  <si>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</si>
  <si>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</si>
  <si>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</si>
  <si>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</si>
  <si>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</si>
  <si>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</si>
  <si>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</si>
  <si>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</si>
  <si>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</si>
  <si>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</si>
  <si>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</si>
  <si>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</si>
  <si>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</si>
  <si>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</si>
  <si>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</si>
  <si>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</si>
  <si>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</si>
  <si>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</si>
  <si>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</si>
  <si>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</si>
  <si>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</si>
  <si>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</si>
  <si>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</si>
  <si>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</si>
  <si>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</si>
  <si>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</si>
  <si>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</si>
  <si>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</si>
  <si>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</si>
  <si>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</si>
  <si>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</si>
  <si>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</si>
  <si>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</si>
  <si>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</si>
  <si>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</si>
  <si>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</si>
  <si>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</si>
  <si>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</si>
  <si>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</si>
  <si>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</si>
  <si>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</si>
  <si>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</si>
  <si>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</si>
  <si>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</si>
  <si>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</si>
  <si>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</si>
  <si>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</si>
  <si>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</si>
  <si>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</si>
  <si>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</si>
  <si>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</si>
  <si>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</si>
  <si>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</si>
  <si>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</si>
  <si>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</si>
  <si>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</si>
  <si>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</si>
  <si>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</si>
  <si>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</si>
  <si>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</si>
  <si>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</si>
  <si>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</si>
  <si>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</si>
  <si>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</si>
  <si>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</si>
  <si>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</si>
  <si>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</si>
  <si>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</si>
  <si>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</si>
  <si>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</si>
  <si>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</si>
  <si>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</si>
  <si>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</si>
  <si>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</si>
  <si>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</si>
  <si>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</si>
  <si>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</si>
  <si>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</si>
  <si>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</si>
  <si>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</si>
  <si>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</si>
  <si>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</si>
  <si>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</si>
  <si>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</si>
  <si>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</si>
  <si>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</si>
  <si>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</si>
  <si>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</si>
  <si>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</si>
  <si>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</si>
  <si>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</si>
  <si>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</si>
  <si>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</si>
  <si>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</si>
  <si>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</si>
  <si>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</si>
  <si>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</si>
  <si>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</si>
  <si>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</si>
  <si>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</si>
  <si>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</si>
  <si>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</si>
  <si>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</si>
  <si>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</si>
  <si>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</si>
  <si>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</si>
  <si>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</si>
  <si>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</si>
  <si>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</si>
  <si>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</si>
  <si>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</si>
  <si>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</si>
  <si>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</si>
  <si>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</si>
  <si>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</si>
  <si>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</si>
  <si>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</si>
  <si>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</si>
  <si>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</si>
  <si>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</si>
  <si>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</si>
  <si>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</si>
  <si>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</si>
  <si>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</si>
  <si>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</si>
  <si>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</si>
  <si>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</si>
  <si>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</si>
  <si>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</si>
  <si>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</si>
  <si>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</si>
  <si>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</si>
  <si>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</si>
  <si>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</si>
  <si>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</si>
  <si>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</si>
  <si>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</si>
  <si>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</si>
  <si>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</si>
  <si>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</si>
  <si>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</si>
  <si>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</si>
  <si>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</si>
  <si>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</si>
  <si>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</si>
  <si>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</si>
  <si>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</si>
  <si>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</si>
  <si>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</si>
  <si>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</si>
  <si>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</si>
  <si>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</si>
  <si>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</si>
  <si>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</si>
  <si>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</si>
  <si>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</si>
  <si>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</si>
  <si>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</si>
  <si>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</si>
  <si>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</si>
  <si>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</si>
  <si>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</si>
  <si>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</si>
  <si>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</si>
  <si>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</si>
  <si>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</si>
  <si>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</si>
  <si>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</si>
  <si>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</si>
  <si>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</si>
  <si>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</si>
  <si>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</si>
  <si>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</si>
  <si>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</si>
  <si>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</si>
  <si>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</si>
  <si>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</si>
  <si>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</si>
  <si>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</si>
  <si>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</si>
  <si>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</si>
  <si>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</si>
  <si>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</si>
  <si>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</si>
  <si>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</si>
  <si>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</si>
  <si>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</si>
  <si>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</si>
  <si>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</si>
  <si>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</si>
  <si>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</si>
  <si>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</si>
  <si>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</si>
  <si>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</si>
  <si>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</si>
  <si>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</si>
  <si>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</si>
  <si>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</si>
  <si>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</si>
  <si>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</si>
  <si>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</si>
  <si>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</si>
  <si>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</si>
  <si>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</si>
  <si>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</si>
  <si>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</si>
  <si>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</si>
  <si>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</si>
  <si>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</si>
  <si>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</si>
  <si>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</si>
  <si>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</si>
  <si>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</si>
  <si>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</si>
  <si>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</si>
  <si>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</si>
  <si>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</si>
  <si>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</si>
  <si>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</si>
  <si>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</si>
  <si>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</si>
  <si>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</si>
  <si>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</si>
  <si>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</si>
  <si>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</si>
  <si>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</si>
  <si>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</si>
  <si>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</si>
  <si>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</si>
  <si>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</si>
  <si>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</si>
  <si>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</si>
  <si>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</si>
  <si>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</si>
  <si>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</si>
  <si>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</si>
  <si>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</si>
  <si>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</si>
  <si>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</si>
  <si>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</si>
  <si>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</si>
  <si>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</si>
  <si>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</si>
  <si>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</si>
  <si>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</si>
  <si>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</si>
  <si>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</si>
  <si>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</si>
  <si>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</si>
  <si>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</si>
  <si>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</si>
  <si>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</si>
  <si>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</si>
  <si>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</si>
  <si>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</si>
  <si>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</si>
  <si>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</si>
  <si>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</si>
  <si>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</si>
  <si>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</si>
  <si>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</si>
  <si>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</si>
  <si>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</si>
  <si>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</si>
  <si>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</si>
  <si>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</si>
  <si>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</si>
  <si>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</si>
  <si>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</si>
  <si>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</si>
  <si>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</si>
  <si>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</si>
  <si>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</si>
  <si>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</si>
  <si>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</si>
  <si>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</si>
  <si>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</si>
  <si>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</si>
  <si>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</si>
  <si>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</si>
  <si>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</si>
  <si>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</si>
  <si>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</si>
  <si>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</si>
  <si>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</si>
  <si>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</si>
  <si>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</si>
  <si>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</si>
  <si>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</si>
  <si>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</si>
  <si>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</si>
  <si>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</si>
  <si>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</si>
  <si>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</si>
  <si>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</si>
  <si>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</si>
  <si>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</si>
  <si>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</si>
  <si>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</si>
  <si>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</si>
  <si>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</si>
  <si>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</si>
  <si>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</si>
  <si>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</si>
  <si>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</si>
  <si>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</si>
  <si>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</si>
  <si>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</si>
  <si>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</si>
  <si>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</si>
  <si>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</si>
  <si>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</si>
  <si>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</si>
  <si>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</si>
  <si>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</si>
  <si>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</si>
  <si>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</si>
  <si>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</si>
  <si>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</si>
  <si>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</si>
  <si>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</si>
  <si>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</si>
  <si>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</si>
  <si>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</si>
  <si>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</si>
  <si>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</si>
  <si>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</si>
  <si>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</si>
  <si>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</si>
  <si>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</si>
  <si>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</si>
  <si>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</si>
  <si>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</si>
  <si>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</si>
  <si>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</si>
  <si>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</si>
  <si>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</si>
  <si>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</si>
  <si>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</si>
  <si>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</si>
  <si>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</si>
  <si>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</si>
  <si>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</si>
  <si>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</si>
  <si>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</si>
  <si>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</si>
  <si>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</si>
  <si>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</si>
  <si>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</si>
  <si>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</si>
  <si>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</si>
  <si>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</si>
  <si>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</si>
  <si>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</si>
  <si>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</si>
  <si>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</si>
  <si>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</si>
  <si>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</si>
  <si>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</si>
  <si>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</si>
  <si>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</si>
  <si>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</si>
  <si>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</si>
  <si>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</si>
  <si>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</si>
  <si>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</si>
  <si>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</si>
  <si>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</si>
  <si>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</si>
  <si>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</si>
  <si>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</si>
  <si>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</si>
  <si>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</si>
  <si>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</si>
  <si>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</si>
  <si>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</si>
  <si>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</si>
  <si>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</si>
  <si>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</si>
  <si>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</si>
  <si>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</si>
  <si>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</si>
  <si>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</si>
  <si>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</si>
  <si>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</si>
  <si>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</si>
  <si>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</si>
  <si>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</si>
  <si>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</si>
  <si>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</si>
  <si>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</si>
  <si>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</si>
  <si>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</si>
  <si>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</si>
  <si>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</si>
  <si>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</si>
  <si>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</si>
  <si>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</si>
  <si>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</si>
  <si>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</si>
  <si>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</si>
  <si>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</si>
  <si>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</si>
  <si>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</si>
  <si>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</si>
  <si>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</si>
  <si>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</si>
  <si>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</si>
  <si>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</si>
  <si>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</si>
  <si>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</si>
  <si>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</si>
  <si>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</si>
  <si>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</si>
  <si>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</si>
  <si>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</si>
  <si>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</si>
  <si>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</si>
  <si>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</si>
  <si>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</si>
  <si>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</si>
  <si>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</si>
  <si>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</si>
  <si>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</si>
  <si>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</si>
  <si>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</si>
  <si>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</si>
  <si>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</si>
  <si>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</si>
  <si>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</si>
  <si>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</si>
  <si>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</si>
  <si>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</si>
  <si>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</si>
  <si>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</si>
  <si>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</si>
  <si>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</si>
  <si>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</si>
  <si>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</si>
  <si>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</si>
  <si>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</si>
  <si>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</si>
  <si>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</si>
  <si>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</si>
  <si>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</si>
  <si>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</si>
  <si>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</si>
  <si>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</si>
  <si>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</si>
  <si>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</si>
  <si>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</si>
  <si>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</si>
  <si>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</si>
  <si>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</si>
  <si>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</si>
  <si>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</si>
  <si>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</si>
  <si>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</si>
  <si>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</si>
  <si>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</si>
  <si>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</si>
  <si>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</si>
  <si>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</si>
  <si>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</si>
  <si>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</si>
  <si>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</si>
  <si>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</si>
  <si>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</si>
  <si>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</si>
  <si>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</si>
  <si>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</si>
  <si>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</si>
  <si>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</si>
  <si>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</si>
  <si>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</si>
  <si>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</si>
  <si>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</si>
  <si>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</si>
  <si>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</si>
  <si>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</si>
  <si>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</si>
  <si>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</si>
  <si>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</si>
  <si>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</si>
  <si>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</si>
  <si>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</si>
  <si>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</si>
  <si>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</si>
  <si>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</si>
  <si>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</si>
  <si>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</si>
  <si>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</si>
  <si>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</si>
  <si>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</si>
  <si>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</si>
  <si>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</si>
  <si>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</si>
  <si>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</si>
  <si>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</si>
  <si>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</si>
  <si>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</si>
  <si>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</si>
  <si>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</si>
  <si>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</si>
  <si>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</si>
  <si>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</si>
  <si>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</si>
  <si>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</si>
  <si>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</si>
  <si>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</si>
  <si>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</si>
  <si>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</si>
  <si>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</si>
  <si>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</si>
  <si>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</si>
  <si>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</si>
  <si>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</si>
  <si>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</si>
  <si>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</si>
  <si>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</si>
  <si>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</si>
  <si>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</si>
  <si>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</si>
  <si>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</si>
  <si>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</si>
  <si>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</si>
  <si>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</si>
  <si>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</si>
  <si>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</si>
  <si>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</si>
  <si>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</si>
  <si>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</si>
  <si>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</si>
  <si>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</si>
  <si>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</si>
  <si>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</si>
  <si>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</si>
  <si>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</si>
  <si>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</si>
  <si>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</si>
  <si>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</si>
  <si>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</si>
  <si>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</si>
  <si>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</si>
  <si>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</si>
  <si>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</si>
  <si>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</si>
  <si>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</si>
  <si>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</si>
  <si>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</si>
  <si>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</si>
  <si>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</si>
  <si>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</si>
  <si>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</si>
  <si>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</si>
  <si>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</si>
  <si>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</si>
  <si>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</si>
  <si>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</si>
  <si>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</si>
  <si>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</si>
  <si>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</si>
  <si>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</si>
  <si>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</si>
  <si>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</si>
  <si>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</si>
  <si>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</si>
  <si>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</si>
  <si>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</si>
  <si>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</si>
  <si>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</si>
  <si>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</si>
  <si>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</si>
  <si>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</si>
  <si>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</si>
  <si>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</si>
  <si>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</si>
  <si>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</si>
  <si>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</si>
  <si>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</si>
  <si>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</si>
  <si>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</si>
  <si>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</si>
  <si>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</si>
  <si>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</si>
  <si>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</si>
  <si>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</si>
  <si>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</si>
  <si>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</si>
  <si>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</si>
  <si>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</si>
  <si>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</si>
  <si>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</si>
  <si>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</si>
  <si>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</si>
  <si>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</si>
  <si>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</si>
  <si>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</si>
  <si>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</si>
  <si>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</si>
  <si>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</si>
  <si>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</si>
  <si>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</si>
  <si>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</si>
  <si>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</si>
  <si>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</si>
  <si>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</si>
  <si>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</si>
  <si>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</si>
  <si>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</si>
  <si>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</si>
  <si>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</si>
  <si>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</si>
  <si>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</si>
  <si>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</si>
  <si>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</si>
  <si>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</si>
  <si>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</si>
  <si>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</si>
  <si>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</si>
  <si>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</si>
  <si>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</si>
  <si>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</si>
  <si>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</si>
  <si>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</si>
  <si>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</si>
  <si>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</si>
  <si>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</si>
  <si>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</si>
  <si>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</si>
  <si>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</si>
  <si>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</si>
  <si>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</si>
  <si>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</si>
  <si>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</si>
  <si>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</si>
  <si>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</si>
  <si>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</si>
  <si>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</si>
  <si>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</si>
  <si>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</si>
  <si>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</si>
  <si>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</si>
  <si>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</si>
  <si>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</si>
  <si>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</si>
  <si>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</si>
  <si>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</si>
  <si>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</si>
  <si>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</si>
  <si>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</si>
  <si>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</si>
  <si>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</si>
  <si>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</si>
  <si>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</si>
  <si>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</si>
  <si>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</si>
  <si>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</si>
  <si>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</si>
  <si>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</si>
  <si>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</si>
  <si>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</si>
  <si>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</si>
  <si>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</si>
  <si>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</si>
  <si>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</si>
  <si>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</si>
  <si>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</si>
  <si>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</si>
  <si>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</si>
  <si>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</si>
  <si>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</si>
  <si>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</si>
  <si>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</si>
  <si>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</si>
  <si>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</si>
  <si>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</si>
  <si>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</si>
  <si>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</si>
  <si>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</si>
  <si>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</si>
  <si>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</si>
  <si>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</si>
  <si>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</si>
  <si>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</si>
  <si>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</si>
  <si>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</si>
  <si>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</si>
  <si>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</si>
  <si>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</si>
  <si>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</si>
  <si>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</si>
  <si>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</si>
  <si>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</si>
  <si>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</si>
  <si>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</si>
  <si>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</si>
  <si>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</si>
  <si>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</si>
  <si>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</si>
  <si>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</si>
  <si>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</si>
  <si>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</si>
  <si>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</si>
  <si>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</si>
  <si>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</si>
  <si>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</si>
  <si>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</si>
  <si>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</si>
  <si>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</si>
  <si>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</si>
  <si>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</si>
  <si>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</si>
  <si>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</si>
  <si>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</si>
  <si>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</si>
  <si>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</si>
  <si>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</si>
  <si>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</si>
  <si>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</si>
  <si>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</si>
  <si>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</si>
  <si>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</si>
  <si>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</si>
  <si>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</si>
  <si>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</si>
  <si>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</si>
  <si>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</si>
  <si>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</si>
  <si>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</si>
  <si>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</si>
  <si>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</si>
  <si>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</si>
  <si>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</si>
  <si>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</si>
  <si>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</si>
  <si>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</si>
  <si>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</si>
  <si>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</si>
  <si>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</si>
  <si>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</si>
  <si>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</si>
  <si>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</si>
  <si>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</si>
  <si>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</si>
  <si>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</si>
  <si>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</si>
  <si>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</si>
  <si>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</si>
  <si>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</si>
  <si>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</si>
  <si>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</si>
  <si>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</si>
  <si>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</si>
  <si>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</si>
  <si>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</si>
  <si>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</si>
  <si>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</si>
  <si>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</si>
  <si>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</si>
  <si>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</si>
  <si>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</si>
  <si>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</si>
  <si>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</si>
  <si>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</si>
  <si>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</si>
  <si>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</si>
  <si>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</si>
  <si>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</si>
  <si>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</si>
  <si>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</si>
  <si>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</si>
  <si>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</si>
  <si>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</si>
  <si>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</si>
  <si>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</si>
  <si>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</si>
  <si>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</si>
  <si>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</si>
  <si>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</si>
  <si>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</si>
  <si>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</si>
  <si>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</si>
  <si>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</si>
  <si>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</si>
  <si>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</si>
  <si>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</si>
  <si>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</si>
  <si>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</si>
  <si>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</si>
  <si>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</si>
  <si>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</si>
  <si>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</si>
  <si>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</si>
  <si>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</si>
  <si>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</si>
  <si>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</si>
  <si>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</si>
  <si>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</si>
  <si>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</si>
  <si>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</si>
  <si>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</si>
  <si>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</si>
  <si>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</si>
  <si>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</si>
  <si>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</si>
  <si>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</si>
  <si>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</si>
  <si>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</si>
  <si>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</si>
  <si>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</si>
  <si>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</si>
  <si>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</si>
  <si>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</si>
  <si>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</si>
  <si>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</si>
  <si>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</si>
  <si>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</si>
  <si>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</si>
  <si>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</si>
  <si>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</si>
  <si>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</si>
  <si>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</si>
  <si>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</si>
  <si>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</si>
  <si>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</si>
  <si>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</si>
  <si>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</si>
  <si>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</si>
  <si>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</si>
  <si>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</si>
  <si>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</si>
  <si>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</si>
  <si>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</si>
  <si>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</si>
  <si>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</si>
  <si>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</si>
  <si>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</si>
  <si>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</si>
  <si>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</si>
  <si>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</si>
  <si>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</si>
  <si>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</si>
  <si>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</si>
  <si>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</si>
  <si>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</si>
  <si>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</si>
  <si>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</si>
  <si>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</si>
  <si>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</si>
  <si>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</si>
  <si>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</si>
  <si>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</si>
  <si>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</si>
  <si>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</si>
  <si>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</si>
  <si>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</si>
  <si>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</si>
  <si>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</si>
  <si>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</si>
  <si>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</si>
  <si>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</si>
  <si>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</si>
  <si>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</si>
  <si>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</si>
  <si>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</si>
  <si>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</si>
  <si>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</si>
  <si>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</si>
  <si>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</si>
  <si>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</si>
  <si>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</si>
  <si>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</si>
  <si>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</si>
  <si>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</si>
  <si>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</si>
  <si>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</si>
  <si>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</si>
  <si>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</si>
  <si>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</si>
  <si>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</si>
  <si>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</si>
  <si>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</si>
  <si>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</si>
  <si>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</si>
  <si>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</si>
  <si>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</si>
  <si>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</si>
  <si>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</si>
  <si>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</si>
  <si>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</si>
  <si>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</si>
  <si>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</si>
  <si>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</si>
  <si>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</si>
  <si>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</si>
  <si>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</si>
  <si>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</si>
  <si>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</si>
  <si>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</si>
  <si>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</si>
  <si>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</si>
  <si>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</si>
  <si>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</si>
  <si>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</si>
  <si>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</si>
  <si>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</si>
  <si>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</si>
  <si>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</si>
  <si>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</si>
  <si>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</si>
  <si>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</si>
  <si>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</si>
  <si>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</si>
  <si>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</si>
  <si>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</si>
  <si>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</si>
  <si>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</si>
  <si>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</si>
  <si>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</si>
  <si>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</si>
  <si>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</si>
  <si>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</si>
  <si>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</si>
  <si>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</si>
  <si>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</si>
  <si>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</si>
  <si>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</si>
  <si>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</si>
  <si>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</si>
  <si>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</si>
  <si>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</si>
  <si>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</si>
  <si>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</si>
  <si>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</si>
  <si>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</si>
  <si>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</si>
  <si>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</si>
  <si>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</si>
  <si>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</si>
  <si>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</si>
  <si>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Shaker Regional School Dsitrict</t>
  </si>
  <si>
    <t xml:space="preserve">   Carryover Fund Balance adjustment from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</si>
</sst>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F127" sqref="F12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486</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791993.63</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1522.9</v>
      </c>
      <c r="G10" s="18">
        <v>963.15</v>
      </c>
      <c r="H10" s="18"/>
      <c r="I10" s="18"/>
      <c r="J10" s="67">
        <f>SUM(I441)</f>
        <v>786374.54</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1450362.03</v>
      </c>
      <c r="G12" s="18">
        <v>566441.86</v>
      </c>
      <c r="H12" s="18">
        <v>1322656.1299999999</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1144328.94</v>
      </c>
      <c r="G13" s="18">
        <v>37503.279999999999</v>
      </c>
      <c r="H13" s="18">
        <v>177369.22</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20252.32</v>
      </c>
      <c r="G14" s="18">
        <v>1886.47</v>
      </c>
      <c r="H14" s="18">
        <v>3327.03</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69605.11</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3478064.9299999997</v>
      </c>
      <c r="G19" s="41">
        <f>SUM(G9:G18)</f>
        <v>606794.76</v>
      </c>
      <c r="H19" s="41">
        <f>SUM(H9:H18)</f>
        <v>1503352.38</v>
      </c>
      <c r="I19" s="41">
        <f>SUM(I9:I18)</f>
        <v>0</v>
      </c>
      <c r="J19" s="41">
        <f>SUM(J9:J18)</f>
        <v>786374.54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1451333.18</v>
      </c>
      <c r="G22" s="18">
        <v>584449.30000000005</v>
      </c>
      <c r="H22" s="18">
        <v>1303677.51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54545.95</v>
      </c>
      <c r="G23" s="18">
        <v>101.25</v>
      </c>
      <c r="H23" s="18"/>
      <c r="I23" s="18"/>
      <c r="J23" s="67">
        <f>SUM(I450)</f>
        <v>144403</v>
      </c>
      <c r="K23" s="24" t="s">
        <v>288</v>
      </c>
      <c r="L23" s="24" t="s">
        <v>288</v>
      </c>
      <c r="M23" s="8"/>
      <c r="N23" s="266"/>
    </row>
    <row r="24" spans="1:14" s="3" customFormat="1" ht="12.2" customHeight="1" x14ac:dyDescent="0.15">
      <c r="A24" s="1" t="s">
        <v>570</v>
      </c>
      <c r="B24" s="2" t="s">
        <v>289</v>
      </c>
      <c r="C24" s="6">
        <v>14</v>
      </c>
      <c r="D24" s="2" t="s">
        <v>429</v>
      </c>
      <c r="E24" s="6">
        <v>420</v>
      </c>
      <c r="F24" s="18">
        <v>147744.26</v>
      </c>
      <c r="G24" s="18">
        <v>1379.95</v>
      </c>
      <c r="H24" s="18">
        <v>2955.17</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32748.69-485.2</f>
        <v>32263.489999999998</v>
      </c>
      <c r="G28" s="18">
        <v>2164.69</v>
      </c>
      <c r="H28" s="18">
        <v>696.26</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20174</v>
      </c>
      <c r="G30" s="18">
        <v>18699.57</v>
      </c>
      <c r="H30" s="18">
        <v>196023.44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1706060.88</v>
      </c>
      <c r="G32" s="41">
        <f>SUM(G22:G31)</f>
        <v>606794.75999999989</v>
      </c>
      <c r="H32" s="41">
        <f>SUM(H22:H31)</f>
        <v>1503352.38</v>
      </c>
      <c r="I32" s="41">
        <f>SUM(I22:I31)</f>
        <v>0</v>
      </c>
      <c r="J32" s="41">
        <f>SUM(J22:J31)</f>
        <v>144403</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69605.11</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257750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385967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35000</v>
      </c>
      <c r="G48" s="18"/>
      <c r="H48" s="18"/>
      <c r="I48" s="18"/>
      <c r="J48" s="13">
        <f>SUM(I460)</f>
        <v>641971.54</v>
      </c>
      <c r="K48" s="24" t="s">
        <v>288</v>
      </c>
      <c r="L48" s="24" t="s">
        <v>288</v>
      </c>
      <c r="M48" s="8"/>
      <c r="N48" s="266"/>
    </row>
    <row r="49" spans="1:14" s="3" customFormat="1" ht="12.2" customHeight="1" x14ac:dyDescent="0.15">
      <c r="A49" s="1" t="s">
        <v>859</v>
      </c>
      <c r="B49" s="2" t="s">
        <v>289</v>
      </c>
      <c r="C49" s="6">
        <v>34</v>
      </c>
      <c r="D49" s="2"/>
      <c r="E49" s="6">
        <v>753</v>
      </c>
      <c r="F49" s="18">
        <v>73007.83</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950674.11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1772004.0499999998</v>
      </c>
      <c r="G51" s="41">
        <f>SUM(G35:G50)</f>
        <v>0</v>
      </c>
      <c r="H51" s="41">
        <f>SUM(H35:H50)</f>
        <v>0</v>
      </c>
      <c r="I51" s="41">
        <f>SUM(I35:I50)</f>
        <v>0</v>
      </c>
      <c r="J51" s="41">
        <f>SUM(J35:J50)</f>
        <v>641971.54</v>
      </c>
      <c r="K51" s="45" t="s">
        <v>288</v>
      </c>
      <c r="L51" s="45" t="s">
        <v>288</v>
      </c>
      <c r="N51" s="264"/>
    </row>
    <row r="52" spans="1:14" s="3" customFormat="1" ht="12.2" customHeight="1" thickTop="1" x14ac:dyDescent="0.15">
      <c r="A52" s="38" t="s">
        <v>455</v>
      </c>
      <c r="B52" s="39" t="s">
        <v>289</v>
      </c>
      <c r="C52" s="6">
        <v>37</v>
      </c>
      <c r="D52" s="39" t="s">
        <v>653</v>
      </c>
      <c r="E52" s="39"/>
      <c r="F52" s="41">
        <f>F51+F32</f>
        <v>3478064.9299999997</v>
      </c>
      <c r="G52" s="41">
        <f>G51+G32</f>
        <v>606794.75999999989</v>
      </c>
      <c r="H52" s="41">
        <f>H51+H32</f>
        <v>1503352.38</v>
      </c>
      <c r="I52" s="41">
        <f>I51+I32</f>
        <v>0</v>
      </c>
      <c r="J52" s="41">
        <f>J51+J32</f>
        <v>786374.54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4271031+10236123</f>
        <v>14507154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14507154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16641</v>
      </c>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16641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3526.57</v>
      </c>
      <c r="G96" s="18"/>
      <c r="H96" s="18"/>
      <c r="I96" s="18"/>
      <c r="J96" s="18">
        <v>10056.39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176322.49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29205.65</v>
      </c>
      <c r="G110" s="18">
        <f>3715.6+2068.17-34.64</f>
        <v>5749.13</v>
      </c>
      <c r="H110" s="18">
        <v>63274.61</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32732.22</v>
      </c>
      <c r="G111" s="41">
        <f>SUM(G96:G110)</f>
        <v>182071.62</v>
      </c>
      <c r="H111" s="41">
        <f>SUM(H96:H110)</f>
        <v>63274.61</v>
      </c>
      <c r="I111" s="41">
        <f>SUM(I96:I110)</f>
        <v>0</v>
      </c>
      <c r="J111" s="41">
        <f>SUM(J96:J110)</f>
        <v>10056.39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14556527.220000001</v>
      </c>
      <c r="G112" s="41">
        <f>G60+G111</f>
        <v>182071.62</v>
      </c>
      <c r="H112" s="41">
        <f>H60+H79+H94+H111</f>
        <v>63274.61</v>
      </c>
      <c r="I112" s="41">
        <f>I60+I111</f>
        <v>0</v>
      </c>
      <c r="J112" s="41">
        <f>J60+J111</f>
        <v>10056.39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5204719.84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1941973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7148648.9299999997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42610.01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10463.6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14161</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7882.25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53073.61</v>
      </c>
      <c r="G136" s="41">
        <f>SUM(G123:G135)</f>
        <v>7882.25</v>
      </c>
      <c r="H136" s="41">
        <f>SUM(H123:H135)</f>
        <v>14161</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7201722.54</v>
      </c>
      <c r="G140" s="41">
        <f>G121+SUM(G136:G137)</f>
        <v>7882.25</v>
      </c>
      <c r="H140" s="41">
        <f>H121+SUM(H136:H139)</f>
        <v>14161</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350882.49-25800</f>
        <v>325082.49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317796.86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303633.07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125446.44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46616.62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25800</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46616.62</v>
      </c>
      <c r="G163" s="41">
        <f>SUM(G150:G162)</f>
        <v>303633.07</v>
      </c>
      <c r="H163" s="41">
        <f>SUM(H150:H162)</f>
        <v>794125.79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46616.62</v>
      </c>
      <c r="G170" s="41">
        <f>G147+G163+SUM(G164:G169)</f>
        <v>303633.07</v>
      </c>
      <c r="H170" s="41">
        <f>H147+H163+SUM(H164:H169)</f>
        <v>794125.79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63230.720000000001</v>
      </c>
      <c r="H180" s="18"/>
      <c r="I180" s="18"/>
      <c r="J180" s="18">
        <v>140000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63230.720000000001</v>
      </c>
      <c r="H184" s="41">
        <f>SUM(H180:H183)</f>
        <v>0</v>
      </c>
      <c r="I184" s="41">
        <f>SUM(I180:I183)</f>
        <v>0</v>
      </c>
      <c r="J184" s="41">
        <f>SUM(J180:J183)</f>
        <v>140000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144403</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144403</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144403</v>
      </c>
      <c r="G193" s="41">
        <f>G184+SUM(G189:G192)</f>
        <v>63230.720000000001</v>
      </c>
      <c r="H193" s="41">
        <f>+H184+SUM(H189:H192)</f>
        <v>0</v>
      </c>
      <c r="I193" s="41">
        <f>I178+I184+SUM(I189:I192)</f>
        <v>0</v>
      </c>
      <c r="J193" s="41">
        <f>J184</f>
        <v>140000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21949269.380000003</v>
      </c>
      <c r="G194" s="47">
        <f>G112+G140+G170+G193</f>
        <v>556817.66</v>
      </c>
      <c r="H194" s="47">
        <f>H112+H140+H170+H193</f>
        <v>871561.4</v>
      </c>
      <c r="I194" s="47">
        <f>I112+I140+I170+I193</f>
        <v>0</v>
      </c>
      <c r="J194" s="47">
        <f>J112+J140+J193</f>
        <v>150056.39000000001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2235512.73</v>
      </c>
      <c r="G198" s="18">
        <v>1183512.97</v>
      </c>
      <c r="H198" s="18">
        <v>1449.42</v>
      </c>
      <c r="I198" s="18">
        <v>71083.47</v>
      </c>
      <c r="J198" s="18">
        <v>15881.43</v>
      </c>
      <c r="K198" s="18"/>
      <c r="L198" s="19">
        <f>SUM(F198:K198)</f>
        <v>3507440.0200000005</v>
      </c>
      <c r="M198" s="8"/>
      <c r="N198" s="266"/>
    </row>
    <row r="199" spans="1:14" s="3" customFormat="1" ht="12.2" customHeight="1" x14ac:dyDescent="0.15">
      <c r="A199" s="1" t="s">
        <v>439</v>
      </c>
      <c r="B199" s="2" t="s">
        <v>341</v>
      </c>
      <c r="C199" s="2" t="s">
        <v>291</v>
      </c>
      <c r="D199" s="2" t="s">
        <v>431</v>
      </c>
      <c r="E199" s="6">
        <v>1200</v>
      </c>
      <c r="F199" s="18">
        <v>840171.01</v>
      </c>
      <c r="G199" s="18">
        <v>415503.37</v>
      </c>
      <c r="H199" s="18">
        <v>112735.2</v>
      </c>
      <c r="I199" s="18">
        <v>1818.22</v>
      </c>
      <c r="J199" s="18">
        <v>834.99</v>
      </c>
      <c r="K199" s="18"/>
      <c r="L199" s="19">
        <f>SUM(F199:K199)</f>
        <v>1371062.7899999998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52254.66</v>
      </c>
      <c r="G201" s="18">
        <v>15305.93</v>
      </c>
      <c r="H201" s="18">
        <v>4600</v>
      </c>
      <c r="I201" s="18">
        <v>605.13</v>
      </c>
      <c r="J201" s="18"/>
      <c r="K201" s="18">
        <v>928.56</v>
      </c>
      <c r="L201" s="19">
        <f>SUM(F201:K201)</f>
        <v>73694.28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718819.07</v>
      </c>
      <c r="G203" s="18">
        <v>391025.26</v>
      </c>
      <c r="H203" s="18">
        <v>236163.42</v>
      </c>
      <c r="I203" s="18">
        <v>8310.7999999999993</v>
      </c>
      <c r="J203" s="18">
        <v>2207.46</v>
      </c>
      <c r="K203" s="18">
        <v>603.15</v>
      </c>
      <c r="L203" s="19">
        <f t="shared" ref="L203:L209" si="0">SUM(F203:K203)</f>
        <v>1357129.16</v>
      </c>
      <c r="M203" s="8"/>
      <c r="N203" s="266"/>
    </row>
    <row r="204" spans="1:14" s="3" customFormat="1" ht="12.2" customHeight="1" x14ac:dyDescent="0.15">
      <c r="A204" s="1" t="s">
        <v>443</v>
      </c>
      <c r="B204" s="2" t="s">
        <v>341</v>
      </c>
      <c r="C204" s="2" t="s">
        <v>295</v>
      </c>
      <c r="D204" s="2" t="s">
        <v>431</v>
      </c>
      <c r="E204" s="6">
        <v>2200</v>
      </c>
      <c r="F204" s="18">
        <v>186541.76</v>
      </c>
      <c r="G204" s="18">
        <v>110037.27</v>
      </c>
      <c r="H204" s="18">
        <v>95779.16</v>
      </c>
      <c r="I204" s="18">
        <v>31355.21</v>
      </c>
      <c r="J204" s="18">
        <v>26572.22</v>
      </c>
      <c r="K204" s="18"/>
      <c r="L204" s="19">
        <f t="shared" si="0"/>
        <v>450285.62000000011</v>
      </c>
      <c r="M204" s="8"/>
      <c r="N204" s="266"/>
    </row>
    <row r="205" spans="1:14" s="3" customFormat="1" ht="12.2" customHeight="1" x14ac:dyDescent="0.15">
      <c r="A205" s="1" t="s">
        <v>444</v>
      </c>
      <c r="B205" s="2" t="s">
        <v>341</v>
      </c>
      <c r="C205" s="2" t="s">
        <v>296</v>
      </c>
      <c r="D205" s="2" t="s">
        <v>431</v>
      </c>
      <c r="E205" s="6">
        <v>2300</v>
      </c>
      <c r="F205" s="18">
        <v>76171.31</v>
      </c>
      <c r="G205" s="18">
        <v>30381.119999999999</v>
      </c>
      <c r="H205" s="18">
        <v>45335.71</v>
      </c>
      <c r="I205" s="18">
        <v>1930.92</v>
      </c>
      <c r="J205" s="18"/>
      <c r="K205" s="18">
        <v>3415.08</v>
      </c>
      <c r="L205" s="19">
        <f t="shared" si="0"/>
        <v>157234.13999999998</v>
      </c>
      <c r="M205" s="8"/>
      <c r="N205" s="266"/>
    </row>
    <row r="206" spans="1:14" s="3" customFormat="1" ht="12.2" customHeight="1" x14ac:dyDescent="0.15">
      <c r="A206" s="1" t="s">
        <v>445</v>
      </c>
      <c r="B206" s="2" t="s">
        <v>341</v>
      </c>
      <c r="C206" s="2" t="s">
        <v>297</v>
      </c>
      <c r="D206" s="2" t="s">
        <v>431</v>
      </c>
      <c r="E206" s="6">
        <v>2400</v>
      </c>
      <c r="F206" s="18">
        <v>337169.23</v>
      </c>
      <c r="G206" s="18">
        <v>154261.94</v>
      </c>
      <c r="H206" s="18">
        <v>24655.58</v>
      </c>
      <c r="I206" s="18">
        <v>3901.46</v>
      </c>
      <c r="J206" s="18">
        <v>533.46</v>
      </c>
      <c r="K206" s="18">
        <v>2495</v>
      </c>
      <c r="L206" s="19">
        <f t="shared" si="0"/>
        <v>523016.67000000004</v>
      </c>
      <c r="M206" s="8"/>
      <c r="N206" s="266"/>
    </row>
    <row r="207" spans="1:14" s="3" customFormat="1" ht="12.2" customHeight="1" x14ac:dyDescent="0.15">
      <c r="A207" s="1" t="s">
        <v>446</v>
      </c>
      <c r="B207" s="2" t="s">
        <v>341</v>
      </c>
      <c r="C207" s="2" t="s">
        <v>298</v>
      </c>
      <c r="D207" s="2" t="s">
        <v>431</v>
      </c>
      <c r="E207" s="6">
        <v>2500</v>
      </c>
      <c r="F207" s="18">
        <v>83052.67</v>
      </c>
      <c r="G207" s="18">
        <v>35110.300000000003</v>
      </c>
      <c r="H207" s="18">
        <v>11876.39</v>
      </c>
      <c r="I207" s="18">
        <v>906.76</v>
      </c>
      <c r="J207" s="18"/>
      <c r="K207" s="18">
        <v>1522.57</v>
      </c>
      <c r="L207" s="19">
        <f t="shared" si="0"/>
        <v>132468.69</v>
      </c>
      <c r="M207" s="8"/>
      <c r="N207" s="266"/>
    </row>
    <row r="208" spans="1:14" s="3" customFormat="1" ht="12.2" customHeight="1" x14ac:dyDescent="0.15">
      <c r="A208" s="1" t="s">
        <v>447</v>
      </c>
      <c r="B208" s="2" t="s">
        <v>341</v>
      </c>
      <c r="C208" s="2" t="s">
        <v>299</v>
      </c>
      <c r="D208" s="2" t="s">
        <v>431</v>
      </c>
      <c r="E208" s="6">
        <v>2600</v>
      </c>
      <c r="F208" s="18">
        <v>197835.77</v>
      </c>
      <c r="G208" s="18">
        <v>78978.87</v>
      </c>
      <c r="H208" s="18">
        <v>226494.73</v>
      </c>
      <c r="I208" s="18">
        <v>130647.84</v>
      </c>
      <c r="J208" s="18">
        <v>43404.67</v>
      </c>
      <c r="K208" s="18"/>
      <c r="L208" s="19">
        <f t="shared" si="0"/>
        <v>677361.88</v>
      </c>
      <c r="M208" s="8"/>
      <c r="N208" s="266"/>
    </row>
    <row r="209" spans="1:14" s="3" customFormat="1" ht="12.2" customHeight="1" x14ac:dyDescent="0.15">
      <c r="A209" s="1" t="s">
        <v>448</v>
      </c>
      <c r="B209" s="2" t="s">
        <v>341</v>
      </c>
      <c r="C209" s="2" t="s">
        <v>300</v>
      </c>
      <c r="D209" s="2" t="s">
        <v>431</v>
      </c>
      <c r="E209" s="6">
        <v>2700</v>
      </c>
      <c r="F209" s="18"/>
      <c r="G209" s="18"/>
      <c r="H209" s="18">
        <v>280924.88</v>
      </c>
      <c r="I209" s="18"/>
      <c r="J209" s="18"/>
      <c r="K209" s="18"/>
      <c r="L209" s="19">
        <f t="shared" si="0"/>
        <v>280924.88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4727528.21</v>
      </c>
      <c r="G212" s="41">
        <f t="shared" si="1"/>
        <v>2414117.0299999998</v>
      </c>
      <c r="H212" s="41">
        <f t="shared" si="1"/>
        <v>1040014.4900000001</v>
      </c>
      <c r="I212" s="41">
        <f t="shared" si="1"/>
        <v>250559.81</v>
      </c>
      <c r="J212" s="41">
        <f t="shared" si="1"/>
        <v>89434.23000000001</v>
      </c>
      <c r="K212" s="41">
        <f t="shared" si="1"/>
        <v>8964.36</v>
      </c>
      <c r="L212" s="41">
        <f t="shared" si="1"/>
        <v>8530618.1300000008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1790331.02</v>
      </c>
      <c r="G216" s="18">
        <v>864135.38</v>
      </c>
      <c r="H216" s="18">
        <v>710.5</v>
      </c>
      <c r="I216" s="18">
        <v>35677.22</v>
      </c>
      <c r="J216" s="18">
        <v>16278.5</v>
      </c>
      <c r="K216" s="18"/>
      <c r="L216" s="19">
        <f>SUM(F216:K216)</f>
        <v>2707132.62</v>
      </c>
      <c r="M216" s="8"/>
      <c r="N216" s="266"/>
    </row>
    <row r="217" spans="1:14" s="3" customFormat="1" ht="12.2" customHeight="1" x14ac:dyDescent="0.15">
      <c r="A217" s="1" t="s">
        <v>439</v>
      </c>
      <c r="B217" s="2" t="s">
        <v>346</v>
      </c>
      <c r="C217" s="2" t="s">
        <v>291</v>
      </c>
      <c r="D217" s="2" t="s">
        <v>431</v>
      </c>
      <c r="E217" s="6">
        <v>1200</v>
      </c>
      <c r="F217" s="18">
        <v>437496.96</v>
      </c>
      <c r="G217" s="18">
        <v>255631.46</v>
      </c>
      <c r="H217" s="18">
        <v>281302.56</v>
      </c>
      <c r="I217" s="18">
        <v>1212.9100000000001</v>
      </c>
      <c r="J217" s="18">
        <v>3320</v>
      </c>
      <c r="K217" s="18"/>
      <c r="L217" s="19">
        <f>SUM(F217:K217)</f>
        <v>978963.89</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74231.44</v>
      </c>
      <c r="G219" s="18">
        <v>19075.64</v>
      </c>
      <c r="H219" s="18">
        <v>7661</v>
      </c>
      <c r="I219" s="18">
        <v>11950.8</v>
      </c>
      <c r="J219" s="18">
        <v>3569</v>
      </c>
      <c r="K219" s="18">
        <v>4997.8500000000004</v>
      </c>
      <c r="L219" s="19">
        <f>SUM(F219:K219)</f>
        <v>121485.73000000001</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326800.17</v>
      </c>
      <c r="G221" s="18">
        <v>146371.76999999999</v>
      </c>
      <c r="H221" s="18">
        <v>26363.119999999999</v>
      </c>
      <c r="I221" s="18">
        <v>5194.1400000000003</v>
      </c>
      <c r="J221" s="18">
        <v>914.08</v>
      </c>
      <c r="K221" s="18">
        <v>698.8</v>
      </c>
      <c r="L221" s="19">
        <f t="shared" ref="L221:L227" si="2">SUM(F221:K221)</f>
        <v>506342.07999999996</v>
      </c>
      <c r="M221" s="8"/>
      <c r="N221" s="266"/>
    </row>
    <row r="222" spans="1:14" s="3" customFormat="1" ht="12.2" customHeight="1" x14ac:dyDescent="0.15">
      <c r="A222" s="1" t="s">
        <v>443</v>
      </c>
      <c r="B222" s="2" t="s">
        <v>346</v>
      </c>
      <c r="C222" s="2" t="s">
        <v>295</v>
      </c>
      <c r="D222" s="2" t="s">
        <v>431</v>
      </c>
      <c r="E222" s="6">
        <v>2200</v>
      </c>
      <c r="F222" s="18">
        <v>160650.35</v>
      </c>
      <c r="G222" s="18">
        <v>98647.51</v>
      </c>
      <c r="H222" s="18">
        <v>74195.72</v>
      </c>
      <c r="I222" s="18">
        <v>25843.09</v>
      </c>
      <c r="J222" s="18">
        <v>18815.66</v>
      </c>
      <c r="K222" s="18"/>
      <c r="L222" s="19">
        <f t="shared" si="2"/>
        <v>378152.32999999996</v>
      </c>
      <c r="M222" s="8"/>
      <c r="N222" s="266"/>
    </row>
    <row r="223" spans="1:14" s="3" customFormat="1" ht="12.2" customHeight="1" x14ac:dyDescent="0.15">
      <c r="A223" s="1" t="s">
        <v>444</v>
      </c>
      <c r="B223" s="2" t="s">
        <v>346</v>
      </c>
      <c r="C223" s="2" t="s">
        <v>296</v>
      </c>
      <c r="D223" s="2" t="s">
        <v>431</v>
      </c>
      <c r="E223" s="6">
        <v>2300</v>
      </c>
      <c r="F223" s="18">
        <v>60937.06</v>
      </c>
      <c r="G223" s="18">
        <v>24304.91</v>
      </c>
      <c r="H223" s="18">
        <v>36268.550000000003</v>
      </c>
      <c r="I223" s="18">
        <v>1544.74</v>
      </c>
      <c r="J223" s="18"/>
      <c r="K223" s="18">
        <v>2732.05</v>
      </c>
      <c r="L223" s="19">
        <f t="shared" si="2"/>
        <v>125787.31000000001</v>
      </c>
      <c r="M223" s="8"/>
      <c r="N223" s="266"/>
    </row>
    <row r="224" spans="1:14" s="3" customFormat="1" ht="12.2" customHeight="1" x14ac:dyDescent="0.15">
      <c r="A224" s="1" t="s">
        <v>445</v>
      </c>
      <c r="B224" s="2" t="s">
        <v>346</v>
      </c>
      <c r="C224" s="2" t="s">
        <v>297</v>
      </c>
      <c r="D224" s="2" t="s">
        <v>431</v>
      </c>
      <c r="E224" s="6">
        <v>2400</v>
      </c>
      <c r="F224" s="18">
        <v>239579.45</v>
      </c>
      <c r="G224" s="18">
        <v>128040.09</v>
      </c>
      <c r="H224" s="18">
        <v>13721.12</v>
      </c>
      <c r="I224" s="18">
        <v>2993.16</v>
      </c>
      <c r="J224" s="18"/>
      <c r="K224" s="18">
        <v>1715</v>
      </c>
      <c r="L224" s="19">
        <f t="shared" si="2"/>
        <v>386048.82</v>
      </c>
      <c r="M224" s="8"/>
      <c r="N224" s="266"/>
    </row>
    <row r="225" spans="1:14" s="3" customFormat="1" ht="12.2" customHeight="1" x14ac:dyDescent="0.15">
      <c r="A225" s="1" t="s">
        <v>446</v>
      </c>
      <c r="B225" s="2" t="s">
        <v>346</v>
      </c>
      <c r="C225" s="2" t="s">
        <v>298</v>
      </c>
      <c r="D225" s="2" t="s">
        <v>431</v>
      </c>
      <c r="E225" s="6">
        <v>2500</v>
      </c>
      <c r="F225" s="18">
        <v>66442.13</v>
      </c>
      <c r="G225" s="18">
        <v>28088.23</v>
      </c>
      <c r="H225" s="18">
        <v>9501.1</v>
      </c>
      <c r="I225" s="18">
        <v>725.41</v>
      </c>
      <c r="J225" s="18"/>
      <c r="K225" s="18">
        <v>1218.05</v>
      </c>
      <c r="L225" s="19">
        <f t="shared" si="2"/>
        <v>105974.92000000001</v>
      </c>
      <c r="M225" s="8"/>
      <c r="N225" s="266"/>
    </row>
    <row r="226" spans="1:14" s="3" customFormat="1" ht="12.2" customHeight="1" x14ac:dyDescent="0.15">
      <c r="A226" s="1" t="s">
        <v>447</v>
      </c>
      <c r="B226" s="2" t="s">
        <v>346</v>
      </c>
      <c r="C226" s="2" t="s">
        <v>299</v>
      </c>
      <c r="D226" s="2" t="s">
        <v>431</v>
      </c>
      <c r="E226" s="6">
        <v>2600</v>
      </c>
      <c r="F226" s="18">
        <v>160705.28</v>
      </c>
      <c r="G226" s="18">
        <v>78778.039999999994</v>
      </c>
      <c r="H226" s="18">
        <v>174431.26</v>
      </c>
      <c r="I226" s="18">
        <v>108080.07</v>
      </c>
      <c r="J226" s="18">
        <v>27138.15</v>
      </c>
      <c r="K226" s="18"/>
      <c r="L226" s="19">
        <f t="shared" si="2"/>
        <v>549132.80000000005</v>
      </c>
      <c r="M226" s="8"/>
      <c r="N226" s="266"/>
    </row>
    <row r="227" spans="1:14" s="3" customFormat="1" ht="12.2" customHeight="1" x14ac:dyDescent="0.15">
      <c r="A227" s="1" t="s">
        <v>448</v>
      </c>
      <c r="B227" s="2" t="s">
        <v>346</v>
      </c>
      <c r="C227" s="2" t="s">
        <v>300</v>
      </c>
      <c r="D227" s="2" t="s">
        <v>431</v>
      </c>
      <c r="E227" s="6">
        <v>2700</v>
      </c>
      <c r="F227" s="18"/>
      <c r="G227" s="18"/>
      <c r="H227" s="18">
        <v>275890.14</v>
      </c>
      <c r="I227" s="18"/>
      <c r="J227" s="18"/>
      <c r="K227" s="18"/>
      <c r="L227" s="19">
        <f t="shared" si="2"/>
        <v>275890.14</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3317173.86</v>
      </c>
      <c r="G230" s="41">
        <f>SUM(G216:G229)</f>
        <v>1643073.03</v>
      </c>
      <c r="H230" s="41">
        <f>SUM(H216:H229)</f>
        <v>900045.07</v>
      </c>
      <c r="I230" s="41">
        <f>SUM(I216:I229)</f>
        <v>193221.54000000004</v>
      </c>
      <c r="J230" s="41">
        <f>SUM(J216:J229)</f>
        <v>70035.390000000014</v>
      </c>
      <c r="K230" s="41">
        <f t="shared" si="3"/>
        <v>11361.75</v>
      </c>
      <c r="L230" s="41">
        <f t="shared" si="3"/>
        <v>6134910.6399999997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1806666.86</v>
      </c>
      <c r="G234" s="18">
        <v>886555.92</v>
      </c>
      <c r="H234" s="18">
        <v>1590.96</v>
      </c>
      <c r="I234" s="18">
        <v>50247.11</v>
      </c>
      <c r="J234" s="18">
        <v>22171.35</v>
      </c>
      <c r="K234" s="18"/>
      <c r="L234" s="19">
        <f>SUM(F234:K234)</f>
        <v>2767232.2</v>
      </c>
      <c r="M234" s="8"/>
      <c r="N234" s="266"/>
    </row>
    <row r="235" spans="1:14" s="3" customFormat="1" ht="12.2" customHeight="1" x14ac:dyDescent="0.15">
      <c r="A235" s="1" t="s">
        <v>439</v>
      </c>
      <c r="B235" s="2" t="s">
        <v>350</v>
      </c>
      <c r="C235" s="2" t="s">
        <v>291</v>
      </c>
      <c r="D235" s="2" t="s">
        <v>431</v>
      </c>
      <c r="E235" s="6">
        <v>1200</v>
      </c>
      <c r="F235" s="18">
        <v>424912.16</v>
      </c>
      <c r="G235" s="18">
        <v>254022.39</v>
      </c>
      <c r="H235" s="18">
        <v>273275.67</v>
      </c>
      <c r="I235" s="18">
        <v>2947.85</v>
      </c>
      <c r="J235" s="18">
        <v>674.71</v>
      </c>
      <c r="K235" s="18"/>
      <c r="L235" s="19">
        <f>SUM(F235:K235)</f>
        <v>955832.77999999991</v>
      </c>
      <c r="M235" s="8"/>
      <c r="N235" s="266"/>
    </row>
    <row r="236" spans="1:14" s="3" customFormat="1" ht="12.2" customHeight="1" x14ac:dyDescent="0.15">
      <c r="A236" s="1" t="s">
        <v>440</v>
      </c>
      <c r="B236" s="2" t="s">
        <v>350</v>
      </c>
      <c r="C236" s="2" t="s">
        <v>292</v>
      </c>
      <c r="D236" s="2" t="s">
        <v>431</v>
      </c>
      <c r="E236" s="6">
        <v>1300</v>
      </c>
      <c r="F236" s="18">
        <v>20654.25</v>
      </c>
      <c r="G236" s="18">
        <v>1707.23</v>
      </c>
      <c r="H236" s="18">
        <v>148442.59</v>
      </c>
      <c r="I236" s="18">
        <v>49.5</v>
      </c>
      <c r="J236" s="18"/>
      <c r="K236" s="18"/>
      <c r="L236" s="19">
        <f>SUM(F236:K236)</f>
        <v>170853.57</v>
      </c>
      <c r="M236" s="8"/>
      <c r="N236" s="266"/>
    </row>
    <row r="237" spans="1:14" s="3" customFormat="1" ht="12.2" customHeight="1" x14ac:dyDescent="0.15">
      <c r="A237" s="1" t="s">
        <v>441</v>
      </c>
      <c r="B237" s="2" t="s">
        <v>350</v>
      </c>
      <c r="C237" s="2" t="s">
        <v>293</v>
      </c>
      <c r="D237" s="2" t="s">
        <v>431</v>
      </c>
      <c r="E237" s="6">
        <v>1400</v>
      </c>
      <c r="F237" s="18">
        <v>100095.43</v>
      </c>
      <c r="G237" s="18">
        <v>22705.84</v>
      </c>
      <c r="H237" s="18">
        <v>40150</v>
      </c>
      <c r="I237" s="18">
        <v>28248.94</v>
      </c>
      <c r="J237" s="18">
        <v>1999.2</v>
      </c>
      <c r="K237" s="18">
        <v>14741.74</v>
      </c>
      <c r="L237" s="19">
        <f>SUM(F237:K237)</f>
        <v>207941.15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315242.14</v>
      </c>
      <c r="G239" s="18">
        <v>167848.15</v>
      </c>
      <c r="H239" s="18">
        <v>25158.55</v>
      </c>
      <c r="I239" s="18">
        <v>8417.17</v>
      </c>
      <c r="J239" s="18">
        <v>283.08999999999997</v>
      </c>
      <c r="K239" s="18">
        <v>426.05</v>
      </c>
      <c r="L239" s="19">
        <f t="shared" ref="L239:L245" si="4">SUM(F239:K239)</f>
        <v>517375.15</v>
      </c>
      <c r="M239" s="8"/>
      <c r="N239" s="266"/>
    </row>
    <row r="240" spans="1:14" s="3" customFormat="1" ht="12.2" customHeight="1" x14ac:dyDescent="0.15">
      <c r="A240" s="1" t="s">
        <v>443</v>
      </c>
      <c r="B240" s="2" t="s">
        <v>350</v>
      </c>
      <c r="C240" s="2" t="s">
        <v>295</v>
      </c>
      <c r="D240" s="2" t="s">
        <v>431</v>
      </c>
      <c r="E240" s="6">
        <v>2200</v>
      </c>
      <c r="F240" s="18">
        <v>129265.83</v>
      </c>
      <c r="G240" s="18">
        <v>73219.11</v>
      </c>
      <c r="H240" s="18">
        <v>65222.98</v>
      </c>
      <c r="I240" s="18">
        <v>25131.56</v>
      </c>
      <c r="J240" s="18">
        <v>16292.21</v>
      </c>
      <c r="K240" s="18"/>
      <c r="L240" s="19">
        <f t="shared" si="4"/>
        <v>309131.69</v>
      </c>
      <c r="M240" s="8"/>
      <c r="N240" s="266"/>
    </row>
    <row r="241" spans="1:14" s="3" customFormat="1" ht="12.2" customHeight="1" x14ac:dyDescent="0.15">
      <c r="A241" s="1" t="s">
        <v>444</v>
      </c>
      <c r="B241" s="2" t="s">
        <v>350</v>
      </c>
      <c r="C241" s="2" t="s">
        <v>296</v>
      </c>
      <c r="D241" s="2" t="s">
        <v>431</v>
      </c>
      <c r="E241" s="6">
        <v>2300</v>
      </c>
      <c r="F241" s="18">
        <v>53319.92</v>
      </c>
      <c r="G241" s="18">
        <v>21266.75</v>
      </c>
      <c r="H241" s="18">
        <v>31734.98</v>
      </c>
      <c r="I241" s="18">
        <v>1351.64</v>
      </c>
      <c r="J241" s="18"/>
      <c r="K241" s="18">
        <v>2390.5500000000002</v>
      </c>
      <c r="L241" s="19">
        <f t="shared" si="4"/>
        <v>110063.84</v>
      </c>
      <c r="M241" s="8"/>
      <c r="N241" s="266"/>
    </row>
    <row r="242" spans="1:14" s="3" customFormat="1" ht="12.2" customHeight="1" x14ac:dyDescent="0.15">
      <c r="A242" s="1" t="s">
        <v>445</v>
      </c>
      <c r="B242" s="2" t="s">
        <v>350</v>
      </c>
      <c r="C242" s="2" t="s">
        <v>297</v>
      </c>
      <c r="D242" s="2" t="s">
        <v>431</v>
      </c>
      <c r="E242" s="6">
        <v>2400</v>
      </c>
      <c r="F242" s="18">
        <v>223905.1</v>
      </c>
      <c r="G242" s="18">
        <v>112926.51</v>
      </c>
      <c r="H242" s="18">
        <v>10847.02</v>
      </c>
      <c r="I242" s="18">
        <v>930.55</v>
      </c>
      <c r="J242" s="18"/>
      <c r="K242" s="18">
        <v>11490.45</v>
      </c>
      <c r="L242" s="19">
        <f t="shared" si="4"/>
        <v>360099.63</v>
      </c>
      <c r="M242" s="8"/>
      <c r="N242" s="266"/>
    </row>
    <row r="243" spans="1:14" s="3" customFormat="1" ht="12.2" customHeight="1" x14ac:dyDescent="0.15">
      <c r="A243" s="1" t="s">
        <v>446</v>
      </c>
      <c r="B243" s="2" t="s">
        <v>350</v>
      </c>
      <c r="C243" s="2" t="s">
        <v>298</v>
      </c>
      <c r="D243" s="2" t="s">
        <v>431</v>
      </c>
      <c r="E243" s="6">
        <v>2500</v>
      </c>
      <c r="F243" s="18">
        <v>58136.86</v>
      </c>
      <c r="G243" s="18">
        <v>24577.22</v>
      </c>
      <c r="H243" s="18">
        <v>8313.4699999999993</v>
      </c>
      <c r="I243" s="18">
        <v>634.73</v>
      </c>
      <c r="J243" s="18"/>
      <c r="K243" s="18">
        <v>1065.8</v>
      </c>
      <c r="L243" s="19">
        <f t="shared" si="4"/>
        <v>92728.08</v>
      </c>
      <c r="M243" s="8"/>
      <c r="N243" s="266"/>
    </row>
    <row r="244" spans="1:14" s="3" customFormat="1" ht="12.2" customHeight="1" x14ac:dyDescent="0.15">
      <c r="A244" s="1" t="s">
        <v>447</v>
      </c>
      <c r="B244" s="2" t="s">
        <v>350</v>
      </c>
      <c r="C244" s="2" t="s">
        <v>299</v>
      </c>
      <c r="D244" s="2" t="s">
        <v>431</v>
      </c>
      <c r="E244" s="6">
        <v>2600</v>
      </c>
      <c r="F244" s="18">
        <v>152261.79999999999</v>
      </c>
      <c r="G244" s="18">
        <v>62615.43</v>
      </c>
      <c r="H244" s="18">
        <v>157468.34</v>
      </c>
      <c r="I244" s="18">
        <v>100937.74</v>
      </c>
      <c r="J244" s="18">
        <v>32427.61</v>
      </c>
      <c r="K244" s="18"/>
      <c r="L244" s="19">
        <f t="shared" si="4"/>
        <v>505710.91999999993</v>
      </c>
      <c r="M244" s="8"/>
      <c r="N244" s="266"/>
    </row>
    <row r="245" spans="1:14" s="3" customFormat="1" ht="12.2" customHeight="1" x14ac:dyDescent="0.15">
      <c r="A245" s="1" t="s">
        <v>448</v>
      </c>
      <c r="B245" s="2" t="s">
        <v>350</v>
      </c>
      <c r="C245" s="2" t="s">
        <v>300</v>
      </c>
      <c r="D245" s="2" t="s">
        <v>431</v>
      </c>
      <c r="E245" s="6">
        <v>2700</v>
      </c>
      <c r="F245" s="18"/>
      <c r="G245" s="18"/>
      <c r="H245" s="18">
        <v>308718.36</v>
      </c>
      <c r="I245" s="18">
        <v>1919.86</v>
      </c>
      <c r="J245" s="18"/>
      <c r="K245" s="18"/>
      <c r="L245" s="19">
        <f t="shared" si="4"/>
        <v>310638.21999999997</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3284460.35</v>
      </c>
      <c r="G248" s="41">
        <f t="shared" si="5"/>
        <v>1627444.55</v>
      </c>
      <c r="H248" s="41">
        <f t="shared" si="5"/>
        <v>1070922.92</v>
      </c>
      <c r="I248" s="41">
        <f t="shared" si="5"/>
        <v>220816.64999999997</v>
      </c>
      <c r="J248" s="41">
        <f t="shared" si="5"/>
        <v>73848.17</v>
      </c>
      <c r="K248" s="41">
        <f t="shared" si="5"/>
        <v>30114.59</v>
      </c>
      <c r="L248" s="41">
        <f t="shared" si="5"/>
        <v>6307607.2299999995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v>1822.23</v>
      </c>
      <c r="G254" s="18">
        <v>344.55</v>
      </c>
      <c r="H254" s="18"/>
      <c r="I254" s="18"/>
      <c r="J254" s="18"/>
      <c r="K254" s="18"/>
      <c r="L254" s="19">
        <f t="shared" si="6"/>
        <v>2166.7800000000002</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345281.39</v>
      </c>
      <c r="I256" s="18"/>
      <c r="J256" s="18"/>
      <c r="K256" s="18"/>
      <c r="L256" s="19">
        <f t="shared" si="6"/>
        <v>345281.39</v>
      </c>
      <c r="M256" s="8"/>
      <c r="N256" s="266"/>
    </row>
    <row r="257" spans="1:14" s="3" customFormat="1" ht="12.2" customHeight="1" thickTop="1" thickBot="1" x14ac:dyDescent="0.2">
      <c r="A257" s="38" t="s">
        <v>461</v>
      </c>
      <c r="B257" s="40">
        <v>10</v>
      </c>
      <c r="C257" s="40">
        <v>7</v>
      </c>
      <c r="D257" s="39" t="s">
        <v>431</v>
      </c>
      <c r="E257" s="40"/>
      <c r="F257" s="41">
        <f t="shared" ref="F257:K257" si="7">SUM(F251:F256)</f>
        <v>1822.23</v>
      </c>
      <c r="G257" s="41">
        <f t="shared" si="7"/>
        <v>344.55</v>
      </c>
      <c r="H257" s="41">
        <f t="shared" si="7"/>
        <v>345281.39</v>
      </c>
      <c r="I257" s="41">
        <f t="shared" si="7"/>
        <v>0</v>
      </c>
      <c r="J257" s="41">
        <f t="shared" si="7"/>
        <v>0</v>
      </c>
      <c r="K257" s="41">
        <f t="shared" si="7"/>
        <v>0</v>
      </c>
      <c r="L257" s="41">
        <f>SUM(F257:K257)</f>
        <v>347448.17000000004</v>
      </c>
      <c r="M257" s="8"/>
      <c r="N257" s="266"/>
    </row>
    <row r="258" spans="1:14" s="3" customFormat="1" ht="12.2" customHeight="1" thickTop="1" x14ac:dyDescent="0.15">
      <c r="A258" s="38" t="s">
        <v>462</v>
      </c>
      <c r="B258" s="40">
        <v>10</v>
      </c>
      <c r="C258" s="40">
        <v>8</v>
      </c>
      <c r="D258" s="39" t="s">
        <v>431</v>
      </c>
      <c r="E258" s="40"/>
      <c r="F258" s="41">
        <f t="shared" ref="F258:L258" si="8">F212+F230+F248+F257</f>
        <v>11330984.65</v>
      </c>
      <c r="G258" s="41">
        <f t="shared" si="8"/>
        <v>5684979.1599999992</v>
      </c>
      <c r="H258" s="41">
        <f t="shared" si="8"/>
        <v>3356263.87</v>
      </c>
      <c r="I258" s="41">
        <f t="shared" si="8"/>
        <v>664598</v>
      </c>
      <c r="J258" s="41">
        <f t="shared" si="8"/>
        <v>233317.79000000004</v>
      </c>
      <c r="K258" s="41">
        <f t="shared" si="8"/>
        <v>50440.7</v>
      </c>
      <c r="L258" s="41">
        <f t="shared" si="8"/>
        <v>21320584.170000002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45274.64+17956.08</f>
        <v>63230.720000000001</v>
      </c>
      <c r="L264" s="19">
        <f>SUM(F264:K264)</f>
        <v>63230.720000000001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140000</v>
      </c>
      <c r="L267" s="19">
        <f t="shared" si="9"/>
        <v>140000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203230.72</v>
      </c>
      <c r="L271" s="41">
        <f t="shared" si="9"/>
        <v>203230.72</v>
      </c>
      <c r="M271" s="8"/>
      <c r="N271" s="266"/>
    </row>
    <row r="272" spans="1:14" s="34" customFormat="1" ht="12.2" customHeight="1" thickTop="1" x14ac:dyDescent="0.2">
      <c r="A272" s="43" t="s">
        <v>464</v>
      </c>
      <c r="B272" s="40">
        <v>10</v>
      </c>
      <c r="C272" s="40">
        <v>18</v>
      </c>
      <c r="D272" s="39" t="s">
        <v>431</v>
      </c>
      <c r="E272" s="40"/>
      <c r="F272" s="42">
        <f t="shared" ref="F272:L272" si="11">F258+F271</f>
        <v>11330984.65</v>
      </c>
      <c r="G272" s="42">
        <f t="shared" si="11"/>
        <v>5684979.1599999992</v>
      </c>
      <c r="H272" s="42">
        <f t="shared" si="11"/>
        <v>3356263.87</v>
      </c>
      <c r="I272" s="42">
        <f t="shared" si="11"/>
        <v>664598</v>
      </c>
      <c r="J272" s="42">
        <f t="shared" si="11"/>
        <v>233317.79000000004</v>
      </c>
      <c r="K272" s="42">
        <f t="shared" si="11"/>
        <v>253671.41999999998</v>
      </c>
      <c r="L272" s="42">
        <f t="shared" si="11"/>
        <v>21523814.890000001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113285.04</v>
      </c>
      <c r="G277" s="18">
        <v>38108.410000000003</v>
      </c>
      <c r="H277" s="18">
        <v>2248</v>
      </c>
      <c r="I277" s="18">
        <v>19385.5</v>
      </c>
      <c r="J277" s="18">
        <v>17472.849999999999</v>
      </c>
      <c r="K277" s="18"/>
      <c r="L277" s="19">
        <f>SUM(F277:K277)</f>
        <v>190499.80000000002</v>
      </c>
      <c r="M277" s="8"/>
      <c r="N277" s="266"/>
    </row>
    <row r="278" spans="1:14" s="3" customFormat="1" ht="12.2" customHeight="1" x14ac:dyDescent="0.15">
      <c r="A278" s="1" t="s">
        <v>439</v>
      </c>
      <c r="B278" s="2" t="s">
        <v>357</v>
      </c>
      <c r="C278" s="2" t="s">
        <v>291</v>
      </c>
      <c r="D278" s="2" t="s">
        <v>431</v>
      </c>
      <c r="E278" s="6">
        <v>1200</v>
      </c>
      <c r="F278" s="18">
        <v>106100.96</v>
      </c>
      <c r="G278" s="18">
        <v>81115.3</v>
      </c>
      <c r="H278" s="18"/>
      <c r="I278" s="18">
        <v>4884.6400000000003</v>
      </c>
      <c r="J278" s="18">
        <v>10717.4</v>
      </c>
      <c r="K278" s="18"/>
      <c r="L278" s="19">
        <f>SUM(F278:K278)</f>
        <v>202818.30000000002</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17332.5</v>
      </c>
      <c r="G280" s="18">
        <v>4529.76</v>
      </c>
      <c r="H280" s="18"/>
      <c r="I280" s="18">
        <v>528.25</v>
      </c>
      <c r="J280" s="18"/>
      <c r="K280" s="18"/>
      <c r="L280" s="19">
        <f>SUM(F280:K280)</f>
        <v>22390.510000000002</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14536.97</v>
      </c>
      <c r="G283" s="18">
        <v>3666.18</v>
      </c>
      <c r="H283" s="18">
        <v>20546.439999999999</v>
      </c>
      <c r="I283" s="18">
        <v>596.85</v>
      </c>
      <c r="J283" s="18">
        <v>27705.42</v>
      </c>
      <c r="K283" s="18">
        <v>1766.01</v>
      </c>
      <c r="L283" s="19">
        <f t="shared" si="12"/>
        <v>68817.869999999981</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4098.8</v>
      </c>
      <c r="J287" s="18">
        <v>4341.7</v>
      </c>
      <c r="K287" s="18"/>
      <c r="L287" s="19">
        <f t="shared" si="12"/>
        <v>8440.5</v>
      </c>
      <c r="M287" s="8"/>
      <c r="N287" s="266"/>
    </row>
    <row r="288" spans="1:14" s="3" customFormat="1" ht="12.2" customHeight="1" x14ac:dyDescent="0.15">
      <c r="A288" s="1" t="s">
        <v>448</v>
      </c>
      <c r="B288" s="2" t="s">
        <v>357</v>
      </c>
      <c r="C288" s="2" t="s">
        <v>300</v>
      </c>
      <c r="D288" s="2" t="s">
        <v>431</v>
      </c>
      <c r="E288" s="6">
        <v>2700</v>
      </c>
      <c r="F288" s="18"/>
      <c r="G288" s="18"/>
      <c r="H288" s="18">
        <v>13609.1</v>
      </c>
      <c r="I288" s="18"/>
      <c r="J288" s="18"/>
      <c r="K288" s="18"/>
      <c r="L288" s="19">
        <f t="shared" si="12"/>
        <v>13609.1</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251255.47</v>
      </c>
      <c r="G291" s="42">
        <f t="shared" si="13"/>
        <v>127419.65</v>
      </c>
      <c r="H291" s="42">
        <f t="shared" si="13"/>
        <v>36403.54</v>
      </c>
      <c r="I291" s="42">
        <f t="shared" si="13"/>
        <v>29494.039999999997</v>
      </c>
      <c r="J291" s="42">
        <f t="shared" si="13"/>
        <v>60237.369999999995</v>
      </c>
      <c r="K291" s="42">
        <f t="shared" si="13"/>
        <v>1766.01</v>
      </c>
      <c r="L291" s="41">
        <f t="shared" si="13"/>
        <v>506576.08</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83978.12</v>
      </c>
      <c r="G296" s="18">
        <v>32992.94</v>
      </c>
      <c r="H296" s="18">
        <v>1167.9000000000001</v>
      </c>
      <c r="I296" s="18">
        <v>7908.82</v>
      </c>
      <c r="J296" s="18">
        <v>1633.7</v>
      </c>
      <c r="K296" s="18"/>
      <c r="L296" s="19">
        <f>SUM(F296:K296)</f>
        <v>127681.48</v>
      </c>
      <c r="M296" s="8"/>
      <c r="N296" s="266"/>
    </row>
    <row r="297" spans="1:14" s="3" customFormat="1" ht="12.2" customHeight="1" x14ac:dyDescent="0.15">
      <c r="A297" s="1" t="s">
        <v>439</v>
      </c>
      <c r="B297" s="2" t="s">
        <v>358</v>
      </c>
      <c r="C297" s="2" t="s">
        <v>291</v>
      </c>
      <c r="D297" s="2" t="s">
        <v>431</v>
      </c>
      <c r="E297" s="6">
        <v>1200</v>
      </c>
      <c r="F297" s="18">
        <v>16860.78</v>
      </c>
      <c r="G297" s="18">
        <v>11208.88</v>
      </c>
      <c r="H297" s="18"/>
      <c r="I297" s="18">
        <v>3907.72</v>
      </c>
      <c r="J297" s="18">
        <v>6585.6</v>
      </c>
      <c r="K297" s="18"/>
      <c r="L297" s="19">
        <f>SUM(F297:K297)</f>
        <v>38562.979999999996</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600</v>
      </c>
      <c r="G299" s="18">
        <v>157</v>
      </c>
      <c r="H299" s="18"/>
      <c r="I299" s="18">
        <v>360</v>
      </c>
      <c r="J299" s="18">
        <v>4400</v>
      </c>
      <c r="K299" s="18">
        <v>650</v>
      </c>
      <c r="L299" s="19">
        <f>SUM(F299:K299)</f>
        <v>6167</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v>1113</v>
      </c>
      <c r="I301" s="18">
        <v>381</v>
      </c>
      <c r="J301" s="18"/>
      <c r="K301" s="18"/>
      <c r="L301" s="19">
        <f t="shared" ref="L301:L307" si="14">SUM(F301:K301)</f>
        <v>1494</v>
      </c>
      <c r="M301" s="8"/>
      <c r="N301" s="266"/>
    </row>
    <row r="302" spans="1:14" s="3" customFormat="1" ht="12.2" customHeight="1" x14ac:dyDescent="0.15">
      <c r="A302" s="1" t="s">
        <v>443</v>
      </c>
      <c r="B302" s="2" t="s">
        <v>358</v>
      </c>
      <c r="C302" s="2" t="s">
        <v>295</v>
      </c>
      <c r="D302" s="2" t="s">
        <v>431</v>
      </c>
      <c r="E302" s="6">
        <v>2200</v>
      </c>
      <c r="F302" s="18">
        <v>11629.57</v>
      </c>
      <c r="G302" s="18">
        <v>2932.95</v>
      </c>
      <c r="H302" s="18">
        <v>7310.28</v>
      </c>
      <c r="I302" s="18">
        <v>477.48</v>
      </c>
      <c r="J302" s="18">
        <v>1524.34</v>
      </c>
      <c r="K302" s="18">
        <v>1412.81</v>
      </c>
      <c r="L302" s="19">
        <f t="shared" si="14"/>
        <v>25287.43</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v>3279.04</v>
      </c>
      <c r="J306" s="18">
        <v>4123.3599999999997</v>
      </c>
      <c r="K306" s="18"/>
      <c r="L306" s="19">
        <f t="shared" si="14"/>
        <v>7402.4</v>
      </c>
      <c r="M306" s="8"/>
      <c r="N306" s="266"/>
    </row>
    <row r="307" spans="1:14" s="3" customFormat="1" ht="12.2" customHeight="1" x14ac:dyDescent="0.15">
      <c r="A307" s="1" t="s">
        <v>448</v>
      </c>
      <c r="B307" s="2" t="s">
        <v>358</v>
      </c>
      <c r="C307" s="2" t="s">
        <v>300</v>
      </c>
      <c r="D307" s="2" t="s">
        <v>431</v>
      </c>
      <c r="E307" s="6">
        <v>2700</v>
      </c>
      <c r="F307" s="18"/>
      <c r="G307" s="18"/>
      <c r="H307" s="18">
        <v>3692.71</v>
      </c>
      <c r="I307" s="18"/>
      <c r="J307" s="18"/>
      <c r="K307" s="18"/>
      <c r="L307" s="19">
        <f t="shared" si="14"/>
        <v>3692.71</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113068.47</v>
      </c>
      <c r="G310" s="42">
        <f t="shared" si="15"/>
        <v>47291.77</v>
      </c>
      <c r="H310" s="42">
        <f t="shared" si="15"/>
        <v>13283.89</v>
      </c>
      <c r="I310" s="42">
        <f t="shared" si="15"/>
        <v>16314.059999999998</v>
      </c>
      <c r="J310" s="42">
        <f t="shared" si="15"/>
        <v>18267</v>
      </c>
      <c r="K310" s="42">
        <f t="shared" si="15"/>
        <v>2062.81</v>
      </c>
      <c r="L310" s="41">
        <f t="shared" si="15"/>
        <v>210287.99999999997</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6373.2</v>
      </c>
      <c r="G315" s="18">
        <v>1603.85</v>
      </c>
      <c r="H315" s="18"/>
      <c r="I315" s="18">
        <v>11288.5</v>
      </c>
      <c r="J315" s="18">
        <v>13410.19</v>
      </c>
      <c r="K315" s="18"/>
      <c r="L315" s="19">
        <f>SUM(F315:K315)</f>
        <v>32675.739999999998</v>
      </c>
      <c r="M315" s="8"/>
      <c r="N315" s="266"/>
    </row>
    <row r="316" spans="1:14" s="3" customFormat="1" ht="12.2" customHeight="1" x14ac:dyDescent="0.15">
      <c r="A316" s="1" t="s">
        <v>439</v>
      </c>
      <c r="B316" s="2" t="s">
        <v>359</v>
      </c>
      <c r="C316" s="2" t="s">
        <v>291</v>
      </c>
      <c r="D316" s="2" t="s">
        <v>431</v>
      </c>
      <c r="E316" s="6">
        <v>1200</v>
      </c>
      <c r="F316" s="18">
        <v>34265.68</v>
      </c>
      <c r="G316" s="18">
        <v>11381.21</v>
      </c>
      <c r="H316" s="18"/>
      <c r="I316" s="18">
        <v>3419.25</v>
      </c>
      <c r="J316" s="18">
        <v>5762.4</v>
      </c>
      <c r="K316" s="18"/>
      <c r="L316" s="19">
        <f>SUM(F316:K316)</f>
        <v>54828.54</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v>5658.75</v>
      </c>
      <c r="G318" s="18">
        <v>651.86</v>
      </c>
      <c r="H318" s="18">
        <v>16935.66</v>
      </c>
      <c r="I318" s="18">
        <v>266.68</v>
      </c>
      <c r="J318" s="18">
        <v>5967.5</v>
      </c>
      <c r="K318" s="18">
        <v>1825</v>
      </c>
      <c r="L318" s="19">
        <f>SUM(F318:K318)</f>
        <v>31305.45</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987</v>
      </c>
      <c r="I320" s="18"/>
      <c r="J320" s="18"/>
      <c r="K320" s="18"/>
      <c r="L320" s="19">
        <f t="shared" ref="L320:L326" si="16">SUM(F320:K320)</f>
        <v>987</v>
      </c>
      <c r="M320" s="8"/>
      <c r="N320" s="266"/>
    </row>
    <row r="321" spans="1:14" s="3" customFormat="1" ht="12.2" customHeight="1" x14ac:dyDescent="0.15">
      <c r="A321" s="1" t="s">
        <v>443</v>
      </c>
      <c r="B321" s="2" t="s">
        <v>359</v>
      </c>
      <c r="C321" s="2" t="s">
        <v>295</v>
      </c>
      <c r="D321" s="2" t="s">
        <v>431</v>
      </c>
      <c r="E321" s="6">
        <v>2200</v>
      </c>
      <c r="F321" s="18">
        <v>10175.879999999999</v>
      </c>
      <c r="G321" s="18">
        <v>2566.33</v>
      </c>
      <c r="H321" s="18">
        <v>6396.5</v>
      </c>
      <c r="I321" s="18">
        <v>417.81</v>
      </c>
      <c r="J321" s="18">
        <v>1333.8</v>
      </c>
      <c r="K321" s="18">
        <v>1236.22</v>
      </c>
      <c r="L321" s="19">
        <f t="shared" si="16"/>
        <v>22126.54</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v>2869.16</v>
      </c>
      <c r="J325" s="18">
        <v>3039.2</v>
      </c>
      <c r="K325" s="18"/>
      <c r="L325" s="19">
        <f t="shared" si="16"/>
        <v>5908.36</v>
      </c>
      <c r="M325" s="8"/>
      <c r="N325" s="266"/>
    </row>
    <row r="326" spans="1:14" s="3" customFormat="1" ht="12.2" customHeight="1" x14ac:dyDescent="0.15">
      <c r="A326" s="1" t="s">
        <v>448</v>
      </c>
      <c r="B326" s="2" t="s">
        <v>359</v>
      </c>
      <c r="C326" s="2" t="s">
        <v>300</v>
      </c>
      <c r="D326" s="2" t="s">
        <v>431</v>
      </c>
      <c r="E326" s="6">
        <v>2700</v>
      </c>
      <c r="F326" s="18"/>
      <c r="G326" s="18"/>
      <c r="H326" s="18">
        <v>6865.69</v>
      </c>
      <c r="I326" s="18"/>
      <c r="J326" s="18"/>
      <c r="K326" s="18"/>
      <c r="L326" s="19">
        <f t="shared" si="16"/>
        <v>6865.69</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56473.509999999995</v>
      </c>
      <c r="G329" s="42">
        <f t="shared" si="17"/>
        <v>16203.25</v>
      </c>
      <c r="H329" s="42">
        <f t="shared" si="17"/>
        <v>31184.85</v>
      </c>
      <c r="I329" s="42">
        <f t="shared" si="17"/>
        <v>18261.400000000001</v>
      </c>
      <c r="J329" s="42">
        <f t="shared" si="17"/>
        <v>29513.09</v>
      </c>
      <c r="K329" s="42">
        <f t="shared" si="17"/>
        <v>3061.2200000000003</v>
      </c>
      <c r="L329" s="41">
        <f t="shared" si="17"/>
        <v>154697.31999999998</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420797.45</v>
      </c>
      <c r="G339" s="41">
        <f t="shared" si="20"/>
        <v>190914.66999999998</v>
      </c>
      <c r="H339" s="41">
        <f t="shared" si="20"/>
        <v>80872.28</v>
      </c>
      <c r="I339" s="41">
        <f t="shared" si="20"/>
        <v>64069.499999999993</v>
      </c>
      <c r="J339" s="41">
        <f t="shared" si="20"/>
        <v>108017.45999999999</v>
      </c>
      <c r="K339" s="41">
        <f t="shared" si="20"/>
        <v>6890.04</v>
      </c>
      <c r="L339" s="41">
        <f t="shared" si="20"/>
        <v>871561.39999999991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420797.45</v>
      </c>
      <c r="G353" s="41">
        <f>G339</f>
        <v>190914.66999999998</v>
      </c>
      <c r="H353" s="41">
        <f>H339</f>
        <v>80872.28</v>
      </c>
      <c r="I353" s="41">
        <f>I339</f>
        <v>64069.499999999993</v>
      </c>
      <c r="J353" s="41">
        <f>J339</f>
        <v>108017.45999999999</v>
      </c>
      <c r="K353" s="47">
        <f>K339+K352</f>
        <v>6890.04</v>
      </c>
      <c r="L353" s="41">
        <f>L339+L352</f>
        <v>871561.39999999991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108199.48</v>
      </c>
      <c r="G359" s="18">
        <v>32938.18</v>
      </c>
      <c r="H359" s="18">
        <v>10134.709999999999</v>
      </c>
      <c r="I359" s="18">
        <v>76024.88</v>
      </c>
      <c r="J359" s="18">
        <v>4004.65</v>
      </c>
      <c r="K359" s="18">
        <v>682</v>
      </c>
      <c r="L359" s="13">
        <f>SUM(F359:K359)</f>
        <v>231983.9</v>
      </c>
      <c r="M359" s="8"/>
      <c r="N359" s="266"/>
    </row>
    <row r="360" spans="1:22" s="3" customFormat="1" ht="12.2" customHeight="1" x14ac:dyDescent="0.15">
      <c r="A360" s="1" t="s">
        <v>542</v>
      </c>
      <c r="B360" s="2" t="s">
        <v>366</v>
      </c>
      <c r="C360" s="6">
        <v>2</v>
      </c>
      <c r="D360" s="2" t="s">
        <v>431</v>
      </c>
      <c r="E360" s="6"/>
      <c r="F360" s="18">
        <v>62158.879999999997</v>
      </c>
      <c r="G360" s="18">
        <v>21541.51</v>
      </c>
      <c r="H360" s="18">
        <v>5325.82</v>
      </c>
      <c r="I360" s="18">
        <v>43945.1</v>
      </c>
      <c r="J360" s="18"/>
      <c r="K360" s="18">
        <v>341</v>
      </c>
      <c r="L360" s="19">
        <f>SUM(F360:K360)</f>
        <v>133312.31</v>
      </c>
      <c r="M360" s="8"/>
      <c r="N360" s="266"/>
    </row>
    <row r="361" spans="1:22" s="3" customFormat="1" ht="12.2" customHeight="1" x14ac:dyDescent="0.15">
      <c r="A361" s="3" t="s">
        <v>543</v>
      </c>
      <c r="B361" s="2" t="s">
        <v>366</v>
      </c>
      <c r="C361" s="6">
        <v>3</v>
      </c>
      <c r="D361" s="2" t="s">
        <v>431</v>
      </c>
      <c r="E361" s="6"/>
      <c r="F361" s="18">
        <v>63561.2</v>
      </c>
      <c r="G361" s="18">
        <v>33022.410000000003</v>
      </c>
      <c r="H361" s="18">
        <v>11464.57</v>
      </c>
      <c r="I361" s="18">
        <v>112124.87</v>
      </c>
      <c r="J361" s="18">
        <v>835.49</v>
      </c>
      <c r="K361" s="18">
        <v>381</v>
      </c>
      <c r="L361" s="19">
        <f>SUM(F361:K361)</f>
        <v>221389.53999999998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233919.56</v>
      </c>
      <c r="G363" s="47">
        <f t="shared" si="22"/>
        <v>87502.1</v>
      </c>
      <c r="H363" s="47">
        <f t="shared" si="22"/>
        <v>26925.1</v>
      </c>
      <c r="I363" s="47">
        <f t="shared" si="22"/>
        <v>232094.85</v>
      </c>
      <c r="J363" s="47">
        <f t="shared" si="22"/>
        <v>4840.1400000000003</v>
      </c>
      <c r="K363" s="47">
        <f t="shared" si="22"/>
        <v>1404</v>
      </c>
      <c r="L363" s="47">
        <f t="shared" si="22"/>
        <v>586685.75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69565.98</v>
      </c>
      <c r="G368" s="18">
        <v>40867.47</v>
      </c>
      <c r="H368" s="18">
        <v>101983.6</v>
      </c>
      <c r="I368" s="56">
        <f>SUM(F368:H368)</f>
        <v>212417.05</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6458.89</v>
      </c>
      <c r="G369" s="63">
        <v>3077.63</v>
      </c>
      <c r="H369" s="63">
        <v>10141.280000000001</v>
      </c>
      <c r="I369" s="56">
        <f>SUM(F369:H369)</f>
        <v>19677.800000000003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76024.87</v>
      </c>
      <c r="G370" s="47">
        <f>SUM(G368:G369)</f>
        <v>43945.1</v>
      </c>
      <c r="H370" s="47">
        <f>SUM(H368:H369)</f>
        <v>112124.88</v>
      </c>
      <c r="I370" s="47">
        <f>SUM(I368:I369)</f>
        <v>232094.84999999998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v>411.94</v>
      </c>
      <c r="I388" s="18"/>
      <c r="J388" s="24" t="s">
        <v>288</v>
      </c>
      <c r="K388" s="24" t="s">
        <v>288</v>
      </c>
      <c r="L388" s="56">
        <f t="shared" ref="L388:L393" si="25">SUM(F388:K388)</f>
        <v>411.94</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411.94</v>
      </c>
      <c r="I394" s="65">
        <f>SUM(I388:I393)</f>
        <v>0</v>
      </c>
      <c r="J394" s="45" t="s">
        <v>288</v>
      </c>
      <c r="K394" s="45" t="s">
        <v>288</v>
      </c>
      <c r="L394" s="47">
        <f>SUM(L388:L393)</f>
        <v>411.94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100000</v>
      </c>
      <c r="H397" s="18">
        <v>3597.57</v>
      </c>
      <c r="I397" s="18"/>
      <c r="J397" s="24" t="s">
        <v>288</v>
      </c>
      <c r="K397" s="24" t="s">
        <v>288</v>
      </c>
      <c r="L397" s="56">
        <f t="shared" si="26"/>
        <v>103597.57</v>
      </c>
      <c r="M397" s="8"/>
      <c r="N397" s="266"/>
    </row>
    <row r="398" spans="1:14" s="3" customFormat="1" ht="12.2" customHeight="1" x14ac:dyDescent="0.15">
      <c r="A398" s="79" t="s">
        <v>515</v>
      </c>
      <c r="B398" s="2" t="s">
        <v>381</v>
      </c>
      <c r="C398" s="6">
        <v>10</v>
      </c>
      <c r="D398" s="2" t="s">
        <v>432</v>
      </c>
      <c r="E398" s="6"/>
      <c r="F398" s="18"/>
      <c r="G398" s="18"/>
      <c r="H398" s="18">
        <v>3461.18</v>
      </c>
      <c r="I398" s="18"/>
      <c r="J398" s="24" t="s">
        <v>288</v>
      </c>
      <c r="K398" s="24" t="s">
        <v>288</v>
      </c>
      <c r="L398" s="56">
        <f t="shared" si="26"/>
        <v>3461.18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511.66</v>
      </c>
      <c r="I400" s="18"/>
      <c r="J400" s="24" t="s">
        <v>288</v>
      </c>
      <c r="K400" s="24" t="s">
        <v>288</v>
      </c>
      <c r="L400" s="56">
        <f t="shared" si="26"/>
        <v>511.66</v>
      </c>
      <c r="M400" s="8"/>
      <c r="N400" s="266"/>
    </row>
    <row r="401" spans="1:21" s="3" customFormat="1" ht="12.2" customHeight="1" thickBot="1" x14ac:dyDescent="0.2">
      <c r="A401" s="79" t="s">
        <v>510</v>
      </c>
      <c r="B401" s="2" t="s">
        <v>381</v>
      </c>
      <c r="C401" s="6">
        <v>13</v>
      </c>
      <c r="D401" s="2" t="s">
        <v>432</v>
      </c>
      <c r="E401" s="6"/>
      <c r="F401" s="18"/>
      <c r="G401" s="18">
        <v>40000</v>
      </c>
      <c r="H401" s="18">
        <v>2074.04</v>
      </c>
      <c r="I401" s="18"/>
      <c r="J401" s="24" t="s">
        <v>288</v>
      </c>
      <c r="K401" s="24" t="s">
        <v>288</v>
      </c>
      <c r="L401" s="56">
        <f t="shared" si="26"/>
        <v>42074.04</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140000</v>
      </c>
      <c r="H402" s="47">
        <f>SUM(H396:H401)</f>
        <v>9644.4500000000007</v>
      </c>
      <c r="I402" s="47">
        <f>SUM(I396:I401)</f>
        <v>0</v>
      </c>
      <c r="J402" s="45" t="s">
        <v>288</v>
      </c>
      <c r="K402" s="45" t="s">
        <v>288</v>
      </c>
      <c r="L402" s="47">
        <f>SUM(L396:L401)</f>
        <v>149644.45000000001</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140000</v>
      </c>
      <c r="H409" s="47">
        <f>H394+H402+H408</f>
        <v>10056.390000000001</v>
      </c>
      <c r="I409" s="47">
        <f>I394+I402+I408</f>
        <v>0</v>
      </c>
      <c r="J409" s="24" t="s">
        <v>288</v>
      </c>
      <c r="K409" s="24" t="s">
        <v>288</v>
      </c>
      <c r="L409" s="47">
        <f>L394+L402+L408</f>
        <v>150056.39000000001</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v>144403</v>
      </c>
      <c r="L423" s="56">
        <f t="shared" si="29"/>
        <v>144403</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144403</v>
      </c>
      <c r="L428" s="47">
        <f t="shared" si="30"/>
        <v>144403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144403</v>
      </c>
      <c r="L435" s="47">
        <f t="shared" si="32"/>
        <v>144403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26615.040000000001</v>
      </c>
      <c r="G441" s="18">
        <v>759759.5</v>
      </c>
      <c r="H441" s="18"/>
      <c r="I441" s="56">
        <f t="shared" si="33"/>
        <v>786374.54</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26615.040000000001</v>
      </c>
      <c r="G447" s="13">
        <f>SUM(G440:G446)</f>
        <v>759759.5</v>
      </c>
      <c r="H447" s="13">
        <f>SUM(H440:H446)</f>
        <v>0</v>
      </c>
      <c r="I447" s="13">
        <f>SUM(I440:I446)</f>
        <v>786374.54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v>144403</v>
      </c>
      <c r="H450" s="18"/>
      <c r="I450" s="56">
        <f>SUM(F450:H450)</f>
        <v>144403</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144403</v>
      </c>
      <c r="H453" s="72">
        <f>SUM(H449:H452)</f>
        <v>0</v>
      </c>
      <c r="I453" s="72">
        <f>SUM(I449:I452)</f>
        <v>144403</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26615.040000000001</v>
      </c>
      <c r="G460" s="18">
        <v>615356.5</v>
      </c>
      <c r="H460" s="18"/>
      <c r="I460" s="56">
        <f t="shared" si="34"/>
        <v>641971.54</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26615.040000000001</v>
      </c>
      <c r="G461" s="83">
        <f>SUM(G455:G460)</f>
        <v>615356.5</v>
      </c>
      <c r="H461" s="83">
        <f>SUM(H455:H460)</f>
        <v>0</v>
      </c>
      <c r="I461" s="83">
        <f>SUM(I455:I460)</f>
        <v>641971.54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26615.040000000001</v>
      </c>
      <c r="G462" s="42">
        <f>G453+G461</f>
        <v>759759.5</v>
      </c>
      <c r="H462" s="42">
        <f>H453+H461</f>
        <v>0</v>
      </c>
      <c r="I462" s="42">
        <f>I453+I461</f>
        <v>786374.54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1346749.66</v>
      </c>
      <c r="G466" s="18">
        <v>29868.09</v>
      </c>
      <c r="H466" s="18">
        <v>0</v>
      </c>
      <c r="I466" s="18"/>
      <c r="J466" s="18">
        <v>636318.15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21949269.379999999</v>
      </c>
      <c r="G469" s="18">
        <v>556817.66</v>
      </c>
      <c r="H469" s="18">
        <v>871561.4</v>
      </c>
      <c r="I469" s="18"/>
      <c r="J469" s="18">
        <f>150056.39</f>
        <v>150056.39000000001</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21949269.379999999</v>
      </c>
      <c r="G471" s="53">
        <f>SUM(G469:G470)</f>
        <v>556817.66</v>
      </c>
      <c r="H471" s="53">
        <f>SUM(H469:H470)</f>
        <v>871561.4</v>
      </c>
      <c r="I471" s="53">
        <f>SUM(I469:I470)</f>
        <v>0</v>
      </c>
      <c r="J471" s="53">
        <f>SUM(J469:J470)</f>
        <v>150056.39000000001</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21523814.890000001</v>
      </c>
      <c r="G473" s="18">
        <v>586685.75</v>
      </c>
      <c r="H473" s="18">
        <v>871561.4</v>
      </c>
      <c r="I473" s="18"/>
      <c r="J473" s="18">
        <v>144403</v>
      </c>
      <c r="K473" s="24" t="s">
        <v>288</v>
      </c>
      <c r="L473" s="24" t="s">
        <v>288</v>
      </c>
      <c r="N473" s="265"/>
    </row>
    <row r="474" spans="1:14" s="52" customFormat="1" ht="12.2" customHeight="1" x14ac:dyDescent="0.2">
      <c r="A474" s="93" t="s">
        <v>613</v>
      </c>
      <c r="B474" s="75">
        <v>19</v>
      </c>
      <c r="C474" s="80">
        <v>6</v>
      </c>
      <c r="D474" s="2" t="s">
        <v>432</v>
      </c>
      <c r="E474" s="80"/>
      <c r="F474" s="18">
        <v>200.1</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21524014.990000002</v>
      </c>
      <c r="G475" s="53">
        <f>SUM(G473:G474)</f>
        <v>586685.75</v>
      </c>
      <c r="H475" s="53">
        <f>SUM(H473:H474)</f>
        <v>871561.4</v>
      </c>
      <c r="I475" s="53">
        <f>SUM(I473:I474)</f>
        <v>0</v>
      </c>
      <c r="J475" s="53">
        <f>SUM(J473:J474)</f>
        <v>144403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1772004.049999997</v>
      </c>
      <c r="G477" s="53">
        <f>(G466+G471)- G475</f>
        <v>0</v>
      </c>
      <c r="H477" s="53">
        <f>(H466+H471)- H475</f>
        <v>0</v>
      </c>
      <c r="I477" s="53">
        <f>(I466+I471)- I475</f>
        <v>0</v>
      </c>
      <c r="J477" s="53">
        <f>(J466+J471)- J475</f>
        <v>641971.54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1643</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722738.82+27892.95</f>
        <v>750631.7699999999</v>
      </c>
      <c r="G522" s="18">
        <f>413418.94+5774.65</f>
        <v>419193.59</v>
      </c>
      <c r="H522" s="18">
        <v>112735.2</v>
      </c>
      <c r="I522" s="18">
        <f>5624.53+377.34</f>
        <v>6001.87</v>
      </c>
      <c r="J522" s="18">
        <v>10717.4</v>
      </c>
      <c r="K522" s="18">
        <v>11552.39</v>
      </c>
      <c r="L522" s="88">
        <f>SUM(F522:K522)</f>
        <v>1310832.2199999997</v>
      </c>
      <c r="N522" s="265"/>
    </row>
    <row r="523" spans="1:14" s="52" customFormat="1" ht="12.2" customHeight="1" x14ac:dyDescent="0.2">
      <c r="A523" s="22" t="s">
        <v>634</v>
      </c>
      <c r="B523" s="105">
        <v>21</v>
      </c>
      <c r="C523" s="115">
        <v>2</v>
      </c>
      <c r="D523" s="2" t="s">
        <v>432</v>
      </c>
      <c r="E523" s="115"/>
      <c r="F523" s="18">
        <f>287930.22+11744.4</f>
        <v>299674.62</v>
      </c>
      <c r="G523" s="18">
        <f>176274.71+2431.43</f>
        <v>178706.13999999998</v>
      </c>
      <c r="H523" s="18">
        <v>281217.56</v>
      </c>
      <c r="I523" s="18">
        <f>4336.25+158.88</f>
        <v>4495.13</v>
      </c>
      <c r="J523" s="18">
        <v>6585.6</v>
      </c>
      <c r="K523" s="18">
        <v>6585.6</v>
      </c>
      <c r="L523" s="88">
        <f>SUM(F523:K523)</f>
        <v>777264.65</v>
      </c>
      <c r="N523" s="265"/>
    </row>
    <row r="524" spans="1:14" s="52" customFormat="1" ht="12.2" customHeight="1" thickBot="1" x14ac:dyDescent="0.25">
      <c r="A524" s="22" t="s">
        <v>635</v>
      </c>
      <c r="B524" s="105">
        <v>21</v>
      </c>
      <c r="C524" s="115">
        <v>3</v>
      </c>
      <c r="D524" s="2" t="s">
        <v>432</v>
      </c>
      <c r="E524" s="115"/>
      <c r="F524" s="18">
        <f>443695.69+9297.65</f>
        <v>452993.34</v>
      </c>
      <c r="G524" s="18">
        <f>262646.95+1924.86</f>
        <v>264571.81</v>
      </c>
      <c r="H524" s="18">
        <v>273275.67</v>
      </c>
      <c r="I524" s="18">
        <f>6241.32+125.78</f>
        <v>6367.0999999999995</v>
      </c>
      <c r="J524" s="18">
        <v>5762.4</v>
      </c>
      <c r="K524" s="18">
        <v>6437.11</v>
      </c>
      <c r="L524" s="88">
        <f>SUM(F524:K524)</f>
        <v>1009407.43</v>
      </c>
      <c r="N524" s="265"/>
    </row>
    <row r="525" spans="1:14" s="52" customFormat="1" ht="12.2" customHeight="1" thickTop="1" x14ac:dyDescent="0.2">
      <c r="A525" s="139" t="s">
        <v>63</v>
      </c>
      <c r="B525" s="107">
        <v>21</v>
      </c>
      <c r="C525" s="195">
        <v>4</v>
      </c>
      <c r="D525" s="196" t="s">
        <v>432</v>
      </c>
      <c r="E525" s="195"/>
      <c r="F525" s="108">
        <f>SUM(F522:F524)</f>
        <v>1503299.73</v>
      </c>
      <c r="G525" s="108">
        <f t="shared" ref="G525:L525" si="36">SUM(G522:G524)</f>
        <v>862471.54</v>
      </c>
      <c r="H525" s="108">
        <f t="shared" si="36"/>
        <v>667228.42999999993</v>
      </c>
      <c r="I525" s="108">
        <f t="shared" si="36"/>
        <v>16864.099999999999</v>
      </c>
      <c r="J525" s="108">
        <f t="shared" si="36"/>
        <v>23065.4</v>
      </c>
      <c r="K525" s="108">
        <f t="shared" si="36"/>
        <v>24575.1</v>
      </c>
      <c r="L525" s="89">
        <f t="shared" si="36"/>
        <v>3097504.3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416059.22</v>
      </c>
      <c r="G527" s="18">
        <v>208340.56</v>
      </c>
      <c r="H527" s="18">
        <v>229669.41</v>
      </c>
      <c r="I527" s="18">
        <v>4975.1499999999996</v>
      </c>
      <c r="J527" s="18">
        <v>849.3</v>
      </c>
      <c r="K527" s="18">
        <v>453.15</v>
      </c>
      <c r="L527" s="88">
        <f>SUM(F527:K527)</f>
        <v>860346.79000000015</v>
      </c>
      <c r="M527" s="8"/>
      <c r="N527" s="266"/>
    </row>
    <row r="528" spans="1:14" s="3" customFormat="1" ht="12.2" customHeight="1" x14ac:dyDescent="0.15">
      <c r="A528" s="22" t="s">
        <v>634</v>
      </c>
      <c r="B528" s="105">
        <v>21</v>
      </c>
      <c r="C528" s="115">
        <v>6</v>
      </c>
      <c r="D528" s="2" t="s">
        <v>432</v>
      </c>
      <c r="E528" s="115"/>
      <c r="F528" s="18">
        <v>111081.12</v>
      </c>
      <c r="G528" s="18">
        <v>33742.980000000003</v>
      </c>
      <c r="H528" s="18">
        <v>21773.68</v>
      </c>
      <c r="I528" s="18">
        <v>2094.79</v>
      </c>
      <c r="J528" s="18">
        <v>357.6</v>
      </c>
      <c r="K528" s="18">
        <v>190.8</v>
      </c>
      <c r="L528" s="88">
        <f>SUM(F528:K528)</f>
        <v>169240.97</v>
      </c>
      <c r="M528" s="8"/>
      <c r="N528" s="266"/>
    </row>
    <row r="529" spans="1:14" s="3" customFormat="1" ht="12.2" customHeight="1" thickBot="1" x14ac:dyDescent="0.2">
      <c r="A529" s="22" t="s">
        <v>635</v>
      </c>
      <c r="B529" s="118">
        <v>21</v>
      </c>
      <c r="C529" s="118">
        <v>7</v>
      </c>
      <c r="D529" s="2" t="s">
        <v>432</v>
      </c>
      <c r="E529" s="118"/>
      <c r="F529" s="18">
        <v>56067.040000000001</v>
      </c>
      <c r="G529" s="18">
        <v>26617.37</v>
      </c>
      <c r="H529" s="18">
        <v>16439.09</v>
      </c>
      <c r="I529" s="18">
        <v>1658.36</v>
      </c>
      <c r="J529" s="18">
        <v>283.08999999999997</v>
      </c>
      <c r="K529" s="18">
        <v>151.05000000000001</v>
      </c>
      <c r="L529" s="88">
        <f>SUM(F529:K529)</f>
        <v>101216</v>
      </c>
      <c r="M529" s="8"/>
      <c r="N529" s="266"/>
    </row>
    <row r="530" spans="1:14" s="3" customFormat="1" ht="12.2" customHeight="1" thickTop="1" x14ac:dyDescent="0.15">
      <c r="A530" s="139" t="s">
        <v>65</v>
      </c>
      <c r="B530" s="107">
        <v>21</v>
      </c>
      <c r="C530" s="107">
        <v>8</v>
      </c>
      <c r="D530" s="158" t="s">
        <v>432</v>
      </c>
      <c r="E530" s="107"/>
      <c r="F530" s="89">
        <f>SUM(F527:F529)</f>
        <v>583207.38</v>
      </c>
      <c r="G530" s="89">
        <f t="shared" ref="G530:L530" si="37">SUM(G527:G529)</f>
        <v>268700.91000000003</v>
      </c>
      <c r="H530" s="89">
        <f t="shared" si="37"/>
        <v>267882.18</v>
      </c>
      <c r="I530" s="89">
        <f t="shared" si="37"/>
        <v>8728.2999999999993</v>
      </c>
      <c r="J530" s="89">
        <f t="shared" si="37"/>
        <v>1489.99</v>
      </c>
      <c r="K530" s="89">
        <f t="shared" si="37"/>
        <v>795</v>
      </c>
      <c r="L530" s="89">
        <f t="shared" si="37"/>
        <v>1130803.7600000002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66503.77</v>
      </c>
      <c r="G532" s="18">
        <v>28051.02</v>
      </c>
      <c r="H532" s="18">
        <v>199577.41</v>
      </c>
      <c r="I532" s="18">
        <v>3323.27</v>
      </c>
      <c r="J532" s="18"/>
      <c r="K532" s="18">
        <v>453.15</v>
      </c>
      <c r="L532" s="88">
        <f>SUM(F532:K532)</f>
        <v>297908.62000000005</v>
      </c>
      <c r="M532" s="8"/>
      <c r="N532" s="266"/>
    </row>
    <row r="533" spans="1:14" s="3" customFormat="1" ht="12.2" customHeight="1" x14ac:dyDescent="0.15">
      <c r="A533" s="22" t="s">
        <v>634</v>
      </c>
      <c r="B533" s="105">
        <v>21</v>
      </c>
      <c r="C533" s="105">
        <v>10</v>
      </c>
      <c r="D533" s="2" t="s">
        <v>432</v>
      </c>
      <c r="E533" s="105"/>
      <c r="F533" s="18">
        <v>28001.59</v>
      </c>
      <c r="G533" s="18">
        <v>11810.95</v>
      </c>
      <c r="H533" s="18">
        <v>12486.68</v>
      </c>
      <c r="I533" s="18">
        <v>1399.27</v>
      </c>
      <c r="J533" s="18"/>
      <c r="K533" s="18">
        <v>190.8</v>
      </c>
      <c r="L533" s="88">
        <f>SUM(F533:K533)</f>
        <v>53889.29</v>
      </c>
      <c r="M533" s="8"/>
      <c r="N533" s="266"/>
    </row>
    <row r="534" spans="1:14" s="3" customFormat="1" ht="12.2" customHeight="1" thickBot="1" x14ac:dyDescent="0.2">
      <c r="A534" s="22" t="s">
        <v>635</v>
      </c>
      <c r="B534" s="105">
        <v>21</v>
      </c>
      <c r="C534" s="105">
        <v>11</v>
      </c>
      <c r="D534" s="2" t="s">
        <v>432</v>
      </c>
      <c r="E534" s="105"/>
      <c r="F534" s="18">
        <v>22167.93</v>
      </c>
      <c r="G534" s="18">
        <v>9350.34</v>
      </c>
      <c r="H534" s="18">
        <v>8349.77</v>
      </c>
      <c r="I534" s="18">
        <v>1107.75</v>
      </c>
      <c r="J534" s="18"/>
      <c r="K534" s="18">
        <v>151.05000000000001</v>
      </c>
      <c r="L534" s="88">
        <f>SUM(F534:K534)</f>
        <v>41126.840000000004</v>
      </c>
      <c r="M534" s="8"/>
      <c r="N534" s="266"/>
    </row>
    <row r="535" spans="1:14" s="3" customFormat="1" ht="12.2" customHeight="1" thickTop="1" x14ac:dyDescent="0.15">
      <c r="A535" s="139" t="s">
        <v>67</v>
      </c>
      <c r="B535" s="107">
        <v>21</v>
      </c>
      <c r="C535" s="107">
        <v>12</v>
      </c>
      <c r="D535" s="158" t="s">
        <v>432</v>
      </c>
      <c r="E535" s="107"/>
      <c r="F535" s="89">
        <f>SUM(F532:F534)</f>
        <v>116673.29000000001</v>
      </c>
      <c r="G535" s="89">
        <f t="shared" ref="G535:L535" si="38">SUM(G532:G534)</f>
        <v>49212.31</v>
      </c>
      <c r="H535" s="89">
        <f t="shared" si="38"/>
        <v>220413.86</v>
      </c>
      <c r="I535" s="89">
        <f t="shared" si="38"/>
        <v>5830.29</v>
      </c>
      <c r="J535" s="89">
        <f t="shared" si="38"/>
        <v>0</v>
      </c>
      <c r="K535" s="89">
        <f t="shared" si="38"/>
        <v>795</v>
      </c>
      <c r="L535" s="89">
        <f t="shared" si="38"/>
        <v>392924.75000000006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5758.93</v>
      </c>
      <c r="I537" s="18"/>
      <c r="J537" s="18"/>
      <c r="K537" s="18"/>
      <c r="L537" s="88">
        <f>SUM(F537:K537)</f>
        <v>5758.93</v>
      </c>
      <c r="M537" s="8"/>
      <c r="N537" s="266"/>
    </row>
    <row r="538" spans="1:14" s="3" customFormat="1" ht="12.2" customHeight="1" x14ac:dyDescent="0.15">
      <c r="A538" s="22" t="s">
        <v>634</v>
      </c>
      <c r="B538" s="105">
        <v>21</v>
      </c>
      <c r="C538" s="105">
        <v>14</v>
      </c>
      <c r="D538" s="2" t="s">
        <v>432</v>
      </c>
      <c r="E538" s="105"/>
      <c r="F538" s="18"/>
      <c r="G538" s="18"/>
      <c r="H538" s="18">
        <v>2424.8200000000002</v>
      </c>
      <c r="I538" s="18"/>
      <c r="J538" s="18"/>
      <c r="K538" s="18"/>
      <c r="L538" s="88">
        <f>SUM(F538:K538)</f>
        <v>2424.8200000000002</v>
      </c>
      <c r="M538" s="8"/>
      <c r="N538" s="266"/>
    </row>
    <row r="539" spans="1:14" s="3" customFormat="1" ht="12.2" customHeight="1" thickBot="1" x14ac:dyDescent="0.2">
      <c r="A539" s="22" t="s">
        <v>635</v>
      </c>
      <c r="B539" s="105">
        <v>21</v>
      </c>
      <c r="C539" s="105">
        <v>15</v>
      </c>
      <c r="D539" s="2" t="s">
        <v>432</v>
      </c>
      <c r="E539" s="105"/>
      <c r="F539" s="18"/>
      <c r="G539" s="18"/>
      <c r="H539" s="18">
        <v>1919.65</v>
      </c>
      <c r="I539" s="18"/>
      <c r="J539" s="18"/>
      <c r="K539" s="18"/>
      <c r="L539" s="88">
        <f>SUM(F539:K539)</f>
        <v>1919.65</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10103.4</v>
      </c>
      <c r="I540" s="89">
        <f t="shared" si="39"/>
        <v>0</v>
      </c>
      <c r="J540" s="89">
        <f t="shared" si="39"/>
        <v>0</v>
      </c>
      <c r="K540" s="89">
        <f t="shared" si="39"/>
        <v>0</v>
      </c>
      <c r="L540" s="89">
        <f t="shared" si="39"/>
        <v>10103.4</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52344.2</v>
      </c>
      <c r="I542" s="18"/>
      <c r="J542" s="18"/>
      <c r="K542" s="18"/>
      <c r="L542" s="88">
        <f>SUM(F542:K542)</f>
        <v>52344.2</v>
      </c>
      <c r="M542" s="8"/>
      <c r="N542" s="266"/>
    </row>
    <row r="543" spans="1:14" s="3" customFormat="1" ht="12.2" customHeight="1" x14ac:dyDescent="0.15">
      <c r="A543" s="22" t="s">
        <v>634</v>
      </c>
      <c r="B543" s="105">
        <v>21</v>
      </c>
      <c r="C543" s="105">
        <v>18</v>
      </c>
      <c r="D543" s="2" t="s">
        <v>432</v>
      </c>
      <c r="E543" s="105"/>
      <c r="F543" s="18"/>
      <c r="G543" s="18"/>
      <c r="H543" s="18">
        <v>72043.649999999994</v>
      </c>
      <c r="I543" s="18"/>
      <c r="J543" s="18"/>
      <c r="K543" s="18"/>
      <c r="L543" s="88">
        <f>SUM(F543:K543)</f>
        <v>72043.649999999994</v>
      </c>
      <c r="M543" s="8"/>
      <c r="N543" s="266"/>
    </row>
    <row r="544" spans="1:14" s="3" customFormat="1" ht="12.2" customHeight="1" thickBot="1" x14ac:dyDescent="0.2">
      <c r="A544" s="22" t="s">
        <v>635</v>
      </c>
      <c r="B544" s="105">
        <v>21</v>
      </c>
      <c r="C544" s="105">
        <v>19</v>
      </c>
      <c r="D544" s="2" t="s">
        <v>432</v>
      </c>
      <c r="E544" s="105"/>
      <c r="F544" s="18"/>
      <c r="G544" s="18"/>
      <c r="H544" s="18">
        <v>55053.51</v>
      </c>
      <c r="I544" s="18">
        <v>1919.86</v>
      </c>
      <c r="J544" s="18"/>
      <c r="K544" s="18"/>
      <c r="L544" s="88">
        <f>SUM(F544:K544)</f>
        <v>56973.37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179441.36</v>
      </c>
      <c r="I545" s="193">
        <f t="shared" si="40"/>
        <v>1919.86</v>
      </c>
      <c r="J545" s="193">
        <f t="shared" si="40"/>
        <v>0</v>
      </c>
      <c r="K545" s="193">
        <f t="shared" si="40"/>
        <v>0</v>
      </c>
      <c r="L545" s="193">
        <f t="shared" si="40"/>
        <v>181361.22</v>
      </c>
      <c r="M545" s="8"/>
      <c r="N545" s="266"/>
    </row>
    <row r="546" spans="1:14" s="3" customFormat="1" ht="12.2" customHeight="1" thickTop="1" x14ac:dyDescent="0.15">
      <c r="A546" s="98" t="s">
        <v>72</v>
      </c>
      <c r="B546" s="107">
        <v>21</v>
      </c>
      <c r="C546" s="107">
        <v>21</v>
      </c>
      <c r="D546" s="158" t="s">
        <v>432</v>
      </c>
      <c r="E546" s="107"/>
      <c r="F546" s="89">
        <f>F525+F530+F535+F540+F545</f>
        <v>2203180.4</v>
      </c>
      <c r="G546" s="89">
        <f t="shared" ref="G546:L546" si="41">G525+G530+G535+G540+G545</f>
        <v>1180384.7600000002</v>
      </c>
      <c r="H546" s="89">
        <f t="shared" si="41"/>
        <v>1345069.2299999995</v>
      </c>
      <c r="I546" s="89">
        <f t="shared" si="41"/>
        <v>33342.549999999996</v>
      </c>
      <c r="J546" s="89">
        <f t="shared" si="41"/>
        <v>24555.390000000003</v>
      </c>
      <c r="K546" s="89">
        <f t="shared" si="41"/>
        <v>26165.1</v>
      </c>
      <c r="L546" s="89">
        <f t="shared" si="41"/>
        <v>4812697.4300000006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1310832.2199999997</v>
      </c>
      <c r="G550" s="87">
        <f>L527</f>
        <v>860346.79000000015</v>
      </c>
      <c r="H550" s="87">
        <f>L532</f>
        <v>297908.62000000005</v>
      </c>
      <c r="I550" s="87">
        <f>L537</f>
        <v>5758.93</v>
      </c>
      <c r="J550" s="87">
        <f>L542</f>
        <v>52344.2</v>
      </c>
      <c r="K550" s="87">
        <f>SUM(F550:J550)</f>
        <v>2527190.7600000002</v>
      </c>
      <c r="L550" s="24" t="s">
        <v>288</v>
      </c>
      <c r="M550" s="8"/>
      <c r="N550" s="266"/>
    </row>
    <row r="551" spans="1:14" s="3" customFormat="1" ht="12.2" customHeight="1" x14ac:dyDescent="0.15">
      <c r="A551" s="22" t="s">
        <v>634</v>
      </c>
      <c r="B551" s="75">
        <v>21</v>
      </c>
      <c r="C551" s="75">
        <v>23</v>
      </c>
      <c r="D551" s="2" t="s">
        <v>432</v>
      </c>
      <c r="E551" s="75"/>
      <c r="F551" s="87">
        <f>L523</f>
        <v>777264.65</v>
      </c>
      <c r="G551" s="87">
        <f>L528</f>
        <v>169240.97</v>
      </c>
      <c r="H551" s="87">
        <f>L533</f>
        <v>53889.29</v>
      </c>
      <c r="I551" s="87">
        <f>L538</f>
        <v>2424.8200000000002</v>
      </c>
      <c r="J551" s="87">
        <f>L543</f>
        <v>72043.649999999994</v>
      </c>
      <c r="K551" s="87">
        <f>SUM(F551:J551)</f>
        <v>1074863.3799999999</v>
      </c>
      <c r="L551" s="24" t="s">
        <v>288</v>
      </c>
      <c r="M551" s="8"/>
      <c r="N551" s="266"/>
    </row>
    <row r="552" spans="1:14" s="3" customFormat="1" ht="12.2" customHeight="1" thickBot="1" x14ac:dyDescent="0.2">
      <c r="A552" s="22" t="s">
        <v>635</v>
      </c>
      <c r="B552" s="75">
        <v>21</v>
      </c>
      <c r="C552" s="75">
        <v>24</v>
      </c>
      <c r="D552" s="2" t="s">
        <v>432</v>
      </c>
      <c r="E552" s="75"/>
      <c r="F552" s="87">
        <f>L524</f>
        <v>1009407.43</v>
      </c>
      <c r="G552" s="87">
        <f>L529</f>
        <v>101216</v>
      </c>
      <c r="H552" s="87">
        <f>L534</f>
        <v>41126.840000000004</v>
      </c>
      <c r="I552" s="87">
        <f>L539</f>
        <v>1919.65</v>
      </c>
      <c r="J552" s="87">
        <f>L544</f>
        <v>56973.37</v>
      </c>
      <c r="K552" s="87">
        <f>SUM(F552:J552)</f>
        <v>1210643.2900000003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3097504.3</v>
      </c>
      <c r="G553" s="89">
        <f t="shared" si="42"/>
        <v>1130803.7600000002</v>
      </c>
      <c r="H553" s="89">
        <f t="shared" si="42"/>
        <v>392924.75000000006</v>
      </c>
      <c r="I553" s="89">
        <f t="shared" si="42"/>
        <v>10103.4</v>
      </c>
      <c r="J553" s="89">
        <f t="shared" si="42"/>
        <v>181361.22</v>
      </c>
      <c r="K553" s="89">
        <f t="shared" si="42"/>
        <v>4812697.4300000006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18553.5</v>
      </c>
      <c r="G563" s="18">
        <v>2495.41</v>
      </c>
      <c r="H563" s="18"/>
      <c r="I563" s="18"/>
      <c r="J563" s="18"/>
      <c r="K563" s="18"/>
      <c r="L563" s="88">
        <f>SUM(F563:K563)</f>
        <v>21048.91</v>
      </c>
      <c r="M563" s="8"/>
      <c r="N563" s="266"/>
    </row>
    <row r="564" spans="1:14" s="3" customFormat="1" ht="12.2" customHeight="1" x14ac:dyDescent="0.15">
      <c r="A564" s="22" t="s">
        <v>634</v>
      </c>
      <c r="B564" s="105">
        <v>22</v>
      </c>
      <c r="C564" s="115">
        <v>6</v>
      </c>
      <c r="D564" s="2" t="s">
        <v>432</v>
      </c>
      <c r="E564" s="115"/>
      <c r="F564" s="18">
        <v>7812</v>
      </c>
      <c r="G564" s="18">
        <v>1050.7</v>
      </c>
      <c r="H564" s="18"/>
      <c r="I564" s="18"/>
      <c r="J564" s="18"/>
      <c r="K564" s="18"/>
      <c r="L564" s="88">
        <f>SUM(F564:K564)</f>
        <v>8862.7000000000007</v>
      </c>
      <c r="M564" s="8"/>
      <c r="N564" s="266"/>
    </row>
    <row r="565" spans="1:14" s="3" customFormat="1" ht="12.2" customHeight="1" thickBot="1" x14ac:dyDescent="0.2">
      <c r="A565" s="22" t="s">
        <v>635</v>
      </c>
      <c r="B565" s="105">
        <v>22</v>
      </c>
      <c r="C565" s="118">
        <v>7</v>
      </c>
      <c r="D565" s="2" t="s">
        <v>432</v>
      </c>
      <c r="E565" s="118"/>
      <c r="F565" s="18">
        <v>6184.5</v>
      </c>
      <c r="G565" s="18">
        <v>831.79</v>
      </c>
      <c r="H565" s="18"/>
      <c r="I565" s="18"/>
      <c r="J565" s="18"/>
      <c r="K565" s="18"/>
      <c r="L565" s="88">
        <f>SUM(F565:K565)</f>
        <v>7016.29</v>
      </c>
      <c r="M565" s="8"/>
      <c r="N565" s="266"/>
    </row>
    <row r="566" spans="1:14" s="3" customFormat="1" ht="12.2" customHeight="1" thickTop="1" x14ac:dyDescent="0.15">
      <c r="A566" s="139" t="s">
        <v>65</v>
      </c>
      <c r="B566" s="107">
        <v>22</v>
      </c>
      <c r="C566" s="107">
        <v>8</v>
      </c>
      <c r="D566" s="196" t="s">
        <v>432</v>
      </c>
      <c r="E566" s="107"/>
      <c r="F566" s="89">
        <f t="shared" ref="F566:L566" si="44">SUM(F563:F565)</f>
        <v>32550</v>
      </c>
      <c r="G566" s="89">
        <f t="shared" si="44"/>
        <v>4377.8999999999996</v>
      </c>
      <c r="H566" s="89">
        <f t="shared" si="44"/>
        <v>0</v>
      </c>
      <c r="I566" s="89">
        <f t="shared" si="44"/>
        <v>0</v>
      </c>
      <c r="J566" s="89">
        <f t="shared" si="44"/>
        <v>0</v>
      </c>
      <c r="K566" s="89">
        <f t="shared" si="44"/>
        <v>0</v>
      </c>
      <c r="L566" s="89">
        <f t="shared" si="44"/>
        <v>36927.9</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57364.85</v>
      </c>
      <c r="G568" s="18">
        <v>16896.490000000002</v>
      </c>
      <c r="H568" s="18"/>
      <c r="I568" s="18">
        <v>700.99</v>
      </c>
      <c r="J568" s="18"/>
      <c r="K568" s="18"/>
      <c r="L568" s="88">
        <f>SUM(F568:K568)</f>
        <v>74962.33</v>
      </c>
      <c r="M568" s="8"/>
      <c r="N568" s="266"/>
    </row>
    <row r="569" spans="1:14" s="3" customFormat="1" ht="12.2" customHeight="1" x14ac:dyDescent="0.15">
      <c r="A569" s="22" t="s">
        <v>634</v>
      </c>
      <c r="B569" s="105">
        <v>22</v>
      </c>
      <c r="C569" s="105">
        <v>10</v>
      </c>
      <c r="D569" s="2" t="s">
        <v>432</v>
      </c>
      <c r="E569" s="105"/>
      <c r="F569" s="18">
        <v>14341.15</v>
      </c>
      <c r="G569" s="18">
        <v>5567.89</v>
      </c>
      <c r="H569" s="18">
        <v>85</v>
      </c>
      <c r="I569" s="18">
        <v>625.5</v>
      </c>
      <c r="J569" s="18">
        <v>3320</v>
      </c>
      <c r="K569" s="18"/>
      <c r="L569" s="88">
        <f>SUM(F569:K569)</f>
        <v>23939.54</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71706</v>
      </c>
      <c r="G571" s="193">
        <f t="shared" ref="G571:L571" si="45">SUM(G568:G570)</f>
        <v>22464.38</v>
      </c>
      <c r="H571" s="193">
        <f t="shared" si="45"/>
        <v>85</v>
      </c>
      <c r="I571" s="193">
        <f t="shared" si="45"/>
        <v>1326.49</v>
      </c>
      <c r="J571" s="193">
        <f t="shared" si="45"/>
        <v>3320</v>
      </c>
      <c r="K571" s="193">
        <f t="shared" si="45"/>
        <v>0</v>
      </c>
      <c r="L571" s="193">
        <f t="shared" si="45"/>
        <v>98901.87</v>
      </c>
      <c r="M571" s="8"/>
      <c r="N571" s="266"/>
    </row>
    <row r="572" spans="1:14" s="3" customFormat="1" ht="12.2" customHeight="1" thickTop="1" x14ac:dyDescent="0.15">
      <c r="A572" s="98" t="s">
        <v>88</v>
      </c>
      <c r="B572" s="107">
        <v>22</v>
      </c>
      <c r="C572" s="107">
        <v>13</v>
      </c>
      <c r="D572" s="158" t="s">
        <v>432</v>
      </c>
      <c r="E572" s="107"/>
      <c r="F572" s="89">
        <f>F561+F566+F571</f>
        <v>104256</v>
      </c>
      <c r="G572" s="89">
        <f t="shared" ref="G572:L572" si="46">G561+G566+G571</f>
        <v>26842.28</v>
      </c>
      <c r="H572" s="89">
        <f t="shared" si="46"/>
        <v>85</v>
      </c>
      <c r="I572" s="89">
        <f t="shared" si="46"/>
        <v>1326.49</v>
      </c>
      <c r="J572" s="89">
        <f t="shared" si="46"/>
        <v>3320</v>
      </c>
      <c r="K572" s="89">
        <f t="shared" si="46"/>
        <v>0</v>
      </c>
      <c r="L572" s="89">
        <f t="shared" si="46"/>
        <v>135829.76999999999</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112663.9</v>
      </c>
      <c r="G580" s="18">
        <v>281217.56</v>
      </c>
      <c r="H580" s="18">
        <v>272682.32</v>
      </c>
      <c r="I580" s="87">
        <f t="shared" si="47"/>
        <v>666563.78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148049.24</v>
      </c>
      <c r="I585" s="87">
        <f t="shared" si="47"/>
        <v>148049.24</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235211.28</v>
      </c>
      <c r="I592" s="18">
        <v>192609.92000000001</v>
      </c>
      <c r="J592" s="18">
        <v>164647.89000000001</v>
      </c>
      <c r="K592" s="104">
        <f t="shared" ref="K592:K598" si="48">SUM(H592:J592)</f>
        <v>592469.09000000008</v>
      </c>
      <c r="L592" s="24" t="s">
        <v>288</v>
      </c>
      <c r="M592" s="8"/>
      <c r="N592" s="266"/>
    </row>
    <row r="593" spans="1:14" s="3" customFormat="1" ht="12.2" customHeight="1" x14ac:dyDescent="0.15">
      <c r="A593" s="3" t="s">
        <v>638</v>
      </c>
      <c r="B593" s="75">
        <v>23</v>
      </c>
      <c r="C593" s="75">
        <v>2</v>
      </c>
      <c r="D593" s="2" t="s">
        <v>432</v>
      </c>
      <c r="E593" s="75"/>
      <c r="F593" s="102">
        <v>2722</v>
      </c>
      <c r="G593" s="103" t="s">
        <v>97</v>
      </c>
      <c r="H593" s="18">
        <v>43462.400000000001</v>
      </c>
      <c r="I593" s="18">
        <v>71463.19</v>
      </c>
      <c r="J593" s="18">
        <f>54538.77+1919.86</f>
        <v>56458.63</v>
      </c>
      <c r="K593" s="104">
        <f t="shared" si="48"/>
        <v>171384.22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47092.41</v>
      </c>
      <c r="K594" s="104">
        <f t="shared" si="48"/>
        <v>47092.41</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v>9865.2999999999993</v>
      </c>
      <c r="J595" s="18">
        <v>25357.63</v>
      </c>
      <c r="K595" s="104">
        <f t="shared" si="48"/>
        <v>35222.93</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v>719.87</v>
      </c>
      <c r="J596" s="18">
        <v>1222</v>
      </c>
      <c r="K596" s="104">
        <f t="shared" si="48"/>
        <v>1941.87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2251.1999999999998</v>
      </c>
      <c r="I598" s="18">
        <v>1231.8599999999999</v>
      </c>
      <c r="J598" s="18">
        <v>15859.66</v>
      </c>
      <c r="K598" s="104">
        <f t="shared" si="48"/>
        <v>19342.72</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280924.88</v>
      </c>
      <c r="I599" s="108">
        <f>SUM(I592:I598)</f>
        <v>275890.13999999996</v>
      </c>
      <c r="J599" s="108">
        <f>SUM(J592:J598)</f>
        <v>310638.22000000003</v>
      </c>
      <c r="K599" s="108">
        <f>SUM(K592:K598)</f>
        <v>867453.24000000011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149671.6</v>
      </c>
      <c r="I605" s="18">
        <v>88302.39</v>
      </c>
      <c r="J605" s="18">
        <v>103361.26</v>
      </c>
      <c r="K605" s="104">
        <f>SUM(H605:J605)</f>
        <v>341335.25</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149671.6</v>
      </c>
      <c r="I606" s="108">
        <f>SUM(I603:I605)</f>
        <v>88302.39</v>
      </c>
      <c r="J606" s="108">
        <f>SUM(J603:J605)</f>
        <v>103361.26</v>
      </c>
      <c r="K606" s="108">
        <f>SUM(K603:K605)</f>
        <v>341335.25</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17332.5</v>
      </c>
      <c r="G612" s="18">
        <v>4529.76</v>
      </c>
      <c r="H612" s="18"/>
      <c r="I612" s="18">
        <v>324.64999999999998</v>
      </c>
      <c r="J612" s="18"/>
      <c r="K612" s="18"/>
      <c r="L612" s="88">
        <f>SUM(F612:K612)</f>
        <v>22186.910000000003</v>
      </c>
      <c r="M612" s="8"/>
      <c r="N612" s="266"/>
    </row>
    <row r="613" spans="1:14" s="3" customFormat="1" ht="12.2" customHeight="1" x14ac:dyDescent="0.15">
      <c r="A613" s="22" t="s">
        <v>634</v>
      </c>
      <c r="B613" s="75">
        <v>23</v>
      </c>
      <c r="C613" s="75">
        <v>14</v>
      </c>
      <c r="D613" s="2" t="s">
        <v>432</v>
      </c>
      <c r="E613" s="75"/>
      <c r="F613" s="18">
        <v>14175</v>
      </c>
      <c r="G613" s="18">
        <v>3654.95</v>
      </c>
      <c r="H613" s="18"/>
      <c r="I613" s="18"/>
      <c r="J613" s="18"/>
      <c r="K613" s="18"/>
      <c r="L613" s="88">
        <f>SUM(F613:K613)</f>
        <v>17829.95</v>
      </c>
      <c r="M613" s="8"/>
      <c r="N613" s="266"/>
    </row>
    <row r="614" spans="1:14" s="3" customFormat="1" ht="12.2" customHeight="1" thickBot="1" x14ac:dyDescent="0.2">
      <c r="A614" s="22" t="s">
        <v>645</v>
      </c>
      <c r="B614" s="75">
        <v>23</v>
      </c>
      <c r="C614" s="75">
        <v>15</v>
      </c>
      <c r="D614" s="2" t="s">
        <v>432</v>
      </c>
      <c r="E614" s="75"/>
      <c r="F614" s="18">
        <v>7695.15</v>
      </c>
      <c r="G614" s="18">
        <v>2282.83</v>
      </c>
      <c r="H614" s="18"/>
      <c r="I614" s="18"/>
      <c r="J614" s="18"/>
      <c r="K614" s="18"/>
      <c r="L614" s="88">
        <f>SUM(F614:K614)</f>
        <v>9977.98</v>
      </c>
      <c r="M614" s="8"/>
      <c r="N614" s="266"/>
    </row>
    <row r="615" spans="1:14" s="3" customFormat="1" ht="12.2" customHeight="1" thickTop="1" x14ac:dyDescent="0.15">
      <c r="A615" s="98" t="s">
        <v>340</v>
      </c>
      <c r="B615" s="107">
        <v>23</v>
      </c>
      <c r="C615" s="107">
        <v>16</v>
      </c>
      <c r="D615" s="39" t="s">
        <v>432</v>
      </c>
      <c r="E615" s="107"/>
      <c r="F615" s="108">
        <f t="shared" ref="F615:L615" si="49">SUM(F612:F614)</f>
        <v>39202.65</v>
      </c>
      <c r="G615" s="108">
        <f t="shared" si="49"/>
        <v>10467.540000000001</v>
      </c>
      <c r="H615" s="108">
        <f t="shared" si="49"/>
        <v>0</v>
      </c>
      <c r="I615" s="108">
        <f t="shared" si="49"/>
        <v>324.64999999999998</v>
      </c>
      <c r="J615" s="108">
        <f t="shared" si="49"/>
        <v>0</v>
      </c>
      <c r="K615" s="108">
        <f t="shared" si="49"/>
        <v>0</v>
      </c>
      <c r="L615" s="89">
        <f t="shared" si="49"/>
        <v>49994.84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3478064.9299999997</v>
      </c>
      <c r="H618" s="109">
        <f>SUM(F52)</f>
        <v>3478064.9299999997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606794.76</v>
      </c>
      <c r="H619" s="109">
        <f>SUM(G52)</f>
        <v>606794.75999999989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1503352.38</v>
      </c>
      <c r="H620" s="109">
        <f>SUM(H52)</f>
        <v>1503352.38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786374.54</v>
      </c>
      <c r="H622" s="109">
        <f>SUM(J52)</f>
        <v>786374.54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1772004.0499999998</v>
      </c>
      <c r="H623" s="109">
        <f>F477</f>
        <v>1772004.049999997</v>
      </c>
      <c r="I623" s="121" t="s">
        <v>101</v>
      </c>
      <c r="J623" s="109">
        <f t="shared" ref="J623:J656" si="50">G623-H623</f>
        <v>2.7939677238464355E-9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641971.54</v>
      </c>
      <c r="H627" s="109">
        <f>J477</f>
        <v>641971.54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21949269.380000003</v>
      </c>
      <c r="H628" s="104">
        <f>SUM(F469)</f>
        <v>21949269.379999999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556817.66</v>
      </c>
      <c r="H629" s="104">
        <f>SUM(G469)</f>
        <v>556817.66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871561.4</v>
      </c>
      <c r="H630" s="104">
        <f>SUM(H469)</f>
        <v>871561.4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150056.39000000001</v>
      </c>
      <c r="H632" s="104">
        <f>SUM(J469)</f>
        <v>150056.39000000001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21523814.890000001</v>
      </c>
      <c r="H633" s="104">
        <f>SUM(F473)</f>
        <v>21523814.890000001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871561.39999999991</v>
      </c>
      <c r="H634" s="104">
        <f>SUM(H473)</f>
        <v>871561.4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232094.85</v>
      </c>
      <c r="H635" s="104">
        <f>I370</f>
        <v>232094.84999999998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586685.75</v>
      </c>
      <c r="H636" s="104">
        <f>SUM(G473)</f>
        <v>586685.75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150056.39000000001</v>
      </c>
      <c r="H638" s="164">
        <f>SUM(J469)</f>
        <v>150056.39000000001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144403</v>
      </c>
      <c r="H639" s="164">
        <f>SUM(J473)</f>
        <v>144403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26615.040000000001</v>
      </c>
      <c r="H640" s="104">
        <f>SUM(F462)</f>
        <v>26615.040000000001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759759.5</v>
      </c>
      <c r="H641" s="104">
        <f>SUM(G462)</f>
        <v>759759.5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786374.54</v>
      </c>
      <c r="H643" s="104">
        <f>SUM(I462)</f>
        <v>786374.54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10056.39</v>
      </c>
      <c r="H645" s="104">
        <f>H409</f>
        <v>10056.390000000001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140000</v>
      </c>
      <c r="H646" s="104">
        <f>G409</f>
        <v>140000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150056.39000000001</v>
      </c>
      <c r="H647" s="104">
        <f>L409</f>
        <v>150056.39000000001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867453.24000000011</v>
      </c>
      <c r="H648" s="104">
        <f>L209+L227+L245</f>
        <v>867453.24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341335.25</v>
      </c>
      <c r="H649" s="104">
        <f>(J258+J339)-(J256+J337)</f>
        <v>341335.25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280924.88</v>
      </c>
      <c r="H650" s="104">
        <f>H599</f>
        <v>280924.88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275890.14</v>
      </c>
      <c r="H651" s="104">
        <f>I599</f>
        <v>275890.13999999996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310638.21999999997</v>
      </c>
      <c r="H652" s="104">
        <f>J599</f>
        <v>310638.22000000003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63230.720000000001</v>
      </c>
      <c r="H653" s="104">
        <f>K264+K346</f>
        <v>63230.720000000001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140000</v>
      </c>
      <c r="H656" s="104">
        <f>K267+K348</f>
        <v>140000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9269178.1100000013</v>
      </c>
      <c r="G661" s="19">
        <f>(L230+L310+L360)</f>
        <v>6478510.9499999993</v>
      </c>
      <c r="H661" s="19">
        <f>(L248+L329+L361)</f>
        <v>6683694.0899999999</v>
      </c>
      <c r="I661" s="19">
        <f>SUM(F661:H661)</f>
        <v>22431383.149999999</v>
      </c>
      <c r="J661" s="13"/>
      <c r="K661" s="13"/>
      <c r="L661" s="13"/>
      <c r="M661" s="9"/>
    </row>
    <row r="662" spans="1:13" s="3" customFormat="1" ht="12.2" customHeight="1" x14ac:dyDescent="0.2">
      <c r="A662" s="1" t="s">
        <v>127</v>
      </c>
      <c r="F662" s="19">
        <f>(L359/IF(SUM(L359:L361)=0,1,SUM(L359:L361))*(SUM(G97:G110)))</f>
        <v>71993.711261809236</v>
      </c>
      <c r="G662" s="19">
        <f>(L360/IF(SUM(L359:L361)=0,1,SUM(L359:L361))*(SUM(G97:G110)))</f>
        <v>41372.043291731898</v>
      </c>
      <c r="H662" s="19">
        <f>(L361/IF(SUM(L359:L361)=0,1,SUM(L359:L361))*(SUM(G97:G110)))</f>
        <v>68705.865446458847</v>
      </c>
      <c r="I662" s="19">
        <f>SUM(F662:H662)</f>
        <v>182071.62</v>
      </c>
      <c r="J662"/>
      <c r="K662" s="13"/>
      <c r="L662" s="13"/>
      <c r="M662" s="8"/>
    </row>
    <row r="663" spans="1:13" s="3" customFormat="1" ht="12.2" customHeight="1" x14ac:dyDescent="0.2">
      <c r="A663" s="1" t="s">
        <v>128</v>
      </c>
      <c r="F663" s="19">
        <f>(L209+L288)-(J209+J288)</f>
        <v>294533.98</v>
      </c>
      <c r="G663" s="19">
        <f>(L227+L307)-(J227+J307)</f>
        <v>279582.85000000003</v>
      </c>
      <c r="H663" s="19">
        <f>(L245+L326)-(J245+J326)</f>
        <v>317503.90999999997</v>
      </c>
      <c r="I663" s="19">
        <f>SUM(F663:H663)</f>
        <v>891620.74</v>
      </c>
      <c r="J663"/>
      <c r="K663" s="13"/>
      <c r="L663" s="13"/>
      <c r="M663" s="9"/>
    </row>
    <row r="664" spans="1:13" s="3" customFormat="1" ht="12.2" customHeight="1" x14ac:dyDescent="0.15">
      <c r="A664" s="198" t="s">
        <v>129</v>
      </c>
      <c r="B664" s="169"/>
      <c r="C664" s="169"/>
      <c r="D664" s="169"/>
      <c r="E664" s="169"/>
      <c r="F664" s="199">
        <f>SUM(F576:F588)+SUM(H603:H605)+SUM(L612)</f>
        <v>284522.41000000003</v>
      </c>
      <c r="G664" s="199">
        <f>SUM(G576:G588)+SUM(I603:I605)+L613</f>
        <v>387349.9</v>
      </c>
      <c r="H664" s="199">
        <f>SUM(H576:H588)+SUM(J603:J605)+L614</f>
        <v>534070.80000000005</v>
      </c>
      <c r="I664" s="19">
        <f>SUM(F664:H664)</f>
        <v>1205943.1100000001</v>
      </c>
      <c r="J664" s="13"/>
      <c r="K664" s="13"/>
      <c r="L664" s="13"/>
      <c r="M664" s="9"/>
    </row>
    <row r="665" spans="1:13" s="3" customFormat="1" ht="12.2" customHeight="1" x14ac:dyDescent="0.15">
      <c r="A665" s="1" t="s">
        <v>130</v>
      </c>
      <c r="F665" s="19">
        <f>F661-SUM(F662:F664)</f>
        <v>8618128.0087381918</v>
      </c>
      <c r="G665" s="19">
        <f>G661-SUM(G662:G664)</f>
        <v>5770206.1567082675</v>
      </c>
      <c r="H665" s="19">
        <f>H661-SUM(H662:H664)</f>
        <v>5763413.5145535413</v>
      </c>
      <c r="I665" s="19">
        <f>I661-SUM(I662:I664)</f>
        <v>20151747.68</v>
      </c>
      <c r="J665" s="13"/>
      <c r="K665" s="13"/>
      <c r="L665" s="13"/>
      <c r="M665" s="8"/>
    </row>
    <row r="666" spans="1:13" s="3" customFormat="1" ht="12.2" customHeight="1" x14ac:dyDescent="0.2">
      <c r="A666" s="1" t="s">
        <v>131</v>
      </c>
      <c r="F666" s="246">
        <f>10.8+89.37+390.11</f>
        <v>490.28000000000003</v>
      </c>
      <c r="G666" s="247">
        <v>393.91</v>
      </c>
      <c r="H666" s="247">
        <v>350.27</v>
      </c>
      <c r="I666" s="19">
        <f>SUM(F666:H666)</f>
        <v>1234.46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17577.97</v>
      </c>
      <c r="G668" s="19">
        <f>ROUND(G665/G666,2)</f>
        <v>14648.54</v>
      </c>
      <c r="H668" s="19">
        <f>ROUND(H665/H666,2)</f>
        <v>16454.2</v>
      </c>
      <c r="I668" s="19">
        <f>ROUND(I665/I666,2)</f>
        <v>16324.34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-15.5</v>
      </c>
      <c r="I671" s="19">
        <f>SUM(F671:H671)</f>
        <v>-15.5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17577.97</v>
      </c>
      <c r="G673" s="19">
        <f>ROUND((G665+G670)/(G666+G671),2)</f>
        <v>14648.54</v>
      </c>
      <c r="H673" s="19">
        <f>ROUND((H665+H670)/(H666+H671),2)</f>
        <v>17216.04</v>
      </c>
      <c r="I673" s="19">
        <f>ROUND((I665+I670)/(I666+I671),2)</f>
        <v>16531.919999999998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B3" zoomScale="175" zoomScaleNormal="175"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Shaker Regional School Dsitrict</v>
      </c>
      <c r="C5" s="344"/>
      <c r="D5" s="344"/>
      <c r="E5" s="344"/>
      <c r="F5" s="344"/>
    </row>
    <row r="8" spans="1:9" ht="18" x14ac:dyDescent="0.25">
      <c r="A8" s="323" t="s">
        <v>1591</v>
      </c>
      <c r="F8" s="330" t="s">
        <v>1609</v>
      </c>
    </row>
    <row r="9" spans="1:9" ht="15" x14ac:dyDescent="0.2">
      <c r="A9" s="321" t="s">
        <v>1592</v>
      </c>
      <c r="B9" s="324">
        <f>'DOE25'!G97</f>
        <v>176322.49</v>
      </c>
      <c r="F9" s="321" t="s">
        <v>1605</v>
      </c>
    </row>
    <row r="10" spans="1:9" ht="15" x14ac:dyDescent="0.2">
      <c r="A10" s="321" t="s">
        <v>1593</v>
      </c>
      <c r="B10" s="324">
        <f>'DOE25'!G112-'DOE25'!G97</f>
        <v>5749.1300000000047</v>
      </c>
      <c r="F10" s="321" t="s">
        <v>1606</v>
      </c>
    </row>
    <row r="11" spans="1:9" ht="15" x14ac:dyDescent="0.2">
      <c r="A11" s="321" t="s">
        <v>1594</v>
      </c>
      <c r="B11" s="324">
        <f>'DOE25'!G140</f>
        <v>7882.25</v>
      </c>
      <c r="F11" s="321" t="s">
        <v>1607</v>
      </c>
    </row>
    <row r="12" spans="1:9" ht="15" x14ac:dyDescent="0.2">
      <c r="A12" s="321" t="s">
        <v>1595</v>
      </c>
      <c r="B12" s="324">
        <f>'DOE25'!G170</f>
        <v>303633.07</v>
      </c>
      <c r="F12" s="321" t="s">
        <v>1608</v>
      </c>
    </row>
    <row r="13" spans="1:9" ht="15" x14ac:dyDescent="0.2">
      <c r="A13" s="321" t="s">
        <v>1596</v>
      </c>
      <c r="B13" s="324">
        <f>'DOE25'!G193-'DOE25'!G180</f>
        <v>0</v>
      </c>
      <c r="F13" s="321" t="s">
        <v>1618</v>
      </c>
    </row>
    <row r="14" spans="1:9" ht="18" x14ac:dyDescent="0.25">
      <c r="A14" s="323" t="s">
        <v>732</v>
      </c>
      <c r="B14" s="325">
        <f>SUM(B9:B13)</f>
        <v>493586.94</v>
      </c>
    </row>
    <row r="16" spans="1:9" ht="18" x14ac:dyDescent="0.25">
      <c r="A16" s="323" t="s">
        <v>786</v>
      </c>
      <c r="F16" s="330" t="s">
        <v>1610</v>
      </c>
    </row>
    <row r="17" spans="1:6" ht="15" x14ac:dyDescent="0.2">
      <c r="A17" s="321" t="s">
        <v>1597</v>
      </c>
      <c r="B17" s="324">
        <f>'DOE25'!L363-'DOE25'!L362</f>
        <v>586685.75</v>
      </c>
      <c r="F17" s="321" t="s">
        <v>1611</v>
      </c>
    </row>
    <row r="18" spans="1:6" ht="15" x14ac:dyDescent="0.2">
      <c r="A18" s="321" t="s">
        <v>1598</v>
      </c>
      <c r="B18" s="338"/>
      <c r="F18" s="330" t="s">
        <v>1637</v>
      </c>
    </row>
    <row r="19" spans="1:6" ht="18" x14ac:dyDescent="0.25">
      <c r="A19" s="323" t="s">
        <v>725</v>
      </c>
      <c r="B19" s="325">
        <f>SUM(B17:B18)</f>
        <v>586685.75</v>
      </c>
    </row>
    <row r="21" spans="1:6" ht="18.75" thickBot="1" x14ac:dyDescent="0.3">
      <c r="A21" s="323" t="s">
        <v>1599</v>
      </c>
    </row>
    <row r="22" spans="1:6" ht="18.75" thickTop="1" x14ac:dyDescent="0.25">
      <c r="A22" s="323" t="s">
        <v>1600</v>
      </c>
      <c r="B22" s="329">
        <f>B14-B19</f>
        <v>-93098.81</v>
      </c>
      <c r="F22" s="321" t="s">
        <v>1612</v>
      </c>
    </row>
    <row r="26" spans="1:6" ht="18" x14ac:dyDescent="0.25">
      <c r="A26" s="323" t="s">
        <v>186</v>
      </c>
    </row>
    <row r="27" spans="1:6" ht="15" x14ac:dyDescent="0.2">
      <c r="A27" s="321" t="s">
        <v>1601</v>
      </c>
      <c r="B27" s="324">
        <f>'DOE25'!G180</f>
        <v>63230.720000000001</v>
      </c>
      <c r="F27" s="321" t="s">
        <v>1613</v>
      </c>
    </row>
    <row r="28" spans="1:6" ht="15" x14ac:dyDescent="0.2">
      <c r="A28" s="321" t="s">
        <v>1603</v>
      </c>
      <c r="B28" s="324">
        <f>'DOE25'!L362</f>
        <v>0</v>
      </c>
      <c r="F28" s="321" t="s">
        <v>1614</v>
      </c>
    </row>
    <row r="31" spans="1:6" ht="15" x14ac:dyDescent="0.2">
      <c r="A31" s="321" t="s">
        <v>1640</v>
      </c>
      <c r="B31" s="324">
        <f>'DOE25'!G466</f>
        <v>29868.09</v>
      </c>
      <c r="F31" s="321" t="s">
        <v>1615</v>
      </c>
    </row>
    <row r="33" spans="1:6" ht="15" x14ac:dyDescent="0.2">
      <c r="A33" s="321" t="s">
        <v>1641</v>
      </c>
      <c r="B33" s="324">
        <f>'DOE25'!G477</f>
        <v>0</v>
      </c>
      <c r="F33" s="321" t="s">
        <v>1616</v>
      </c>
    </row>
    <row r="36" spans="1:6" ht="15" x14ac:dyDescent="0.2">
      <c r="A36" s="321" t="s">
        <v>1602</v>
      </c>
      <c r="B36" s="339">
        <v>22836.2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zoomScale="265" zoomScaleNormal="265"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Shaker Regional School Dsitrict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6036146.9700000007</v>
      </c>
      <c r="C9" s="229">
        <f>'DOE25'!G198+'DOE25'!G216+'DOE25'!G234+'DOE25'!G277+'DOE25'!G296+'DOE25'!G315</f>
        <v>3006909.47</v>
      </c>
    </row>
    <row r="10" spans="1:3" x14ac:dyDescent="0.2">
      <c r="A10" t="s">
        <v>775</v>
      </c>
      <c r="B10" s="240">
        <v>5621994.2199999997</v>
      </c>
      <c r="C10" s="240">
        <f>2302248.89+468716.22</f>
        <v>2770965.1100000003</v>
      </c>
    </row>
    <row r="11" spans="1:3" x14ac:dyDescent="0.2">
      <c r="A11" t="s">
        <v>776</v>
      </c>
      <c r="B11" s="240">
        <v>327157.21000000002</v>
      </c>
      <c r="C11" s="240">
        <f>200664.64+30239.76</f>
        <v>230904.40000000002</v>
      </c>
    </row>
    <row r="12" spans="1:3" x14ac:dyDescent="0.2">
      <c r="A12" t="s">
        <v>777</v>
      </c>
      <c r="B12" s="240">
        <v>86995.54</v>
      </c>
      <c r="C12" s="240">
        <v>5039.96</v>
      </c>
    </row>
    <row r="13" spans="1:3" x14ac:dyDescent="0.2">
      <c r="A13" t="str">
        <f>IF(B9=B13,IF(C9=C13,"Check Total OK","Check Total Error"),"Check Total Error")</f>
        <v>Check Total OK</v>
      </c>
      <c r="B13" s="231">
        <f>SUM(B10:B12)</f>
        <v>6036146.9699999997</v>
      </c>
      <c r="C13" s="231">
        <f>SUM(C10:C12)</f>
        <v>3006909.47</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1859807.5499999998</v>
      </c>
      <c r="C18" s="229">
        <f>'DOE25'!G199+'DOE25'!G217+'DOE25'!G235+'DOE25'!G278+'DOE25'!G297+'DOE25'!G316</f>
        <v>1028862.61</v>
      </c>
    </row>
    <row r="19" spans="1:3" x14ac:dyDescent="0.2">
      <c r="A19" t="s">
        <v>775</v>
      </c>
      <c r="B19" s="240">
        <v>1232285.54</v>
      </c>
      <c r="C19" s="240">
        <f>571762.88+98473.76</f>
        <v>670236.64</v>
      </c>
    </row>
    <row r="20" spans="1:3" x14ac:dyDescent="0.2">
      <c r="A20" t="s">
        <v>776</v>
      </c>
      <c r="B20" s="240">
        <v>627522.01</v>
      </c>
      <c r="C20" s="240">
        <f>307897.07+50728.9</f>
        <v>358625.97000000003</v>
      </c>
    </row>
    <row r="21" spans="1:3" x14ac:dyDescent="0.2">
      <c r="A21" t="s">
        <v>777</v>
      </c>
      <c r="B21" s="240"/>
      <c r="C21" s="240"/>
    </row>
    <row r="22" spans="1:3" x14ac:dyDescent="0.2">
      <c r="A22" t="str">
        <f>IF(B18=B22,IF(C18=C22,"Check Total OK","Check Total Error"),"Check Total Error")</f>
        <v>Check Total OK</v>
      </c>
      <c r="B22" s="231">
        <f>SUM(B19:B21)</f>
        <v>1859807.55</v>
      </c>
      <c r="C22" s="231">
        <f>SUM(C19:C21)</f>
        <v>1028862.6100000001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20654.25</v>
      </c>
      <c r="C27" s="234">
        <f>'DOE25'!G200+'DOE25'!G218+'DOE25'!G236+'DOE25'!G279+'DOE25'!G298+'DOE25'!G317</f>
        <v>1707.23</v>
      </c>
    </row>
    <row r="28" spans="1:3" x14ac:dyDescent="0.2">
      <c r="A28" t="s">
        <v>775</v>
      </c>
      <c r="B28" s="240"/>
      <c r="C28" s="240"/>
    </row>
    <row r="29" spans="1:3" x14ac:dyDescent="0.2">
      <c r="A29" t="s">
        <v>776</v>
      </c>
      <c r="B29" s="240">
        <v>20654.25</v>
      </c>
      <c r="C29" s="240">
        <v>1707.23</v>
      </c>
    </row>
    <row r="30" spans="1:3" x14ac:dyDescent="0.2">
      <c r="A30" t="s">
        <v>777</v>
      </c>
      <c r="B30" s="240"/>
      <c r="C30" s="240"/>
    </row>
    <row r="31" spans="1:3" x14ac:dyDescent="0.2">
      <c r="A31" t="str">
        <f>IF(B27=B31,IF(C27=C31,"Check Total OK","Check Total Error"),"Check Total Error")</f>
        <v>Check Total OK</v>
      </c>
      <c r="B31" s="231">
        <f>SUM(B28:B30)</f>
        <v>20654.25</v>
      </c>
      <c r="C31" s="231">
        <f>SUM(C28:C30)</f>
        <v>1707.23</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250172.78</v>
      </c>
      <c r="C36" s="235">
        <f>'DOE25'!G201+'DOE25'!G219+'DOE25'!G237+'DOE25'!G280+'DOE25'!G299+'DOE25'!G318</f>
        <v>62426.030000000006</v>
      </c>
    </row>
    <row r="37" spans="1:3" x14ac:dyDescent="0.2">
      <c r="A37" t="s">
        <v>775</v>
      </c>
      <c r="B37" s="240">
        <v>163212.72</v>
      </c>
      <c r="C37" s="240">
        <v>40726.74</v>
      </c>
    </row>
    <row r="38" spans="1:3" x14ac:dyDescent="0.2">
      <c r="A38" t="s">
        <v>776</v>
      </c>
      <c r="B38" s="240">
        <v>3527.44</v>
      </c>
      <c r="C38" s="240">
        <v>880.21</v>
      </c>
    </row>
    <row r="39" spans="1:3" x14ac:dyDescent="0.2">
      <c r="A39" t="s">
        <v>777</v>
      </c>
      <c r="B39" s="240">
        <v>83432.62</v>
      </c>
      <c r="C39" s="240">
        <v>20819.080000000002</v>
      </c>
    </row>
    <row r="40" spans="1:3" x14ac:dyDescent="0.2">
      <c r="A40" t="str">
        <f>IF(B36=B40,IF(C36=C40,"Check Total OK","Check Total Error"),"Check Total Error")</f>
        <v>Check Total OK</v>
      </c>
      <c r="B40" s="231">
        <f>SUM(B37:B39)</f>
        <v>250172.78</v>
      </c>
      <c r="C40" s="231">
        <f>SUM(C37:C39)</f>
        <v>62426.03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75" zoomScaleNormal="175" workbookViewId="0">
      <pane ySplit="4" topLeftCell="A41"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Shaker Regional School Dsitrict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12861639.030000001</v>
      </c>
      <c r="D5" s="20">
        <f>SUM('DOE25'!L198:L201)+SUM('DOE25'!L216:L219)+SUM('DOE25'!L234:L237)-F5-G5-H5</f>
        <v>12776241.700000001</v>
      </c>
      <c r="E5" s="243"/>
      <c r="F5" s="244"/>
      <c r="G5" s="53">
        <f>SUM('DOE25'!J198:J201)+SUM('DOE25'!J216:J219)+SUM('DOE25'!J234:J237)</f>
        <v>64729.179999999993</v>
      </c>
      <c r="H5" s="53">
        <f>SUM('DOE25'!K198:K201)+SUM('DOE25'!K216:K219)+SUM('DOE25'!K234:K237)</f>
        <v>20668.150000000001</v>
      </c>
      <c r="I5" s="256"/>
    </row>
    <row r="6" spans="1:9" x14ac:dyDescent="0.2">
      <c r="A6" s="32">
        <v>2100</v>
      </c>
      <c r="B6" t="s">
        <v>796</v>
      </c>
      <c r="C6" s="276">
        <f t="shared" si="0"/>
        <v>2380846.3899999997</v>
      </c>
      <c r="D6" s="20">
        <f>'DOE25'!L203+'DOE25'!L221+'DOE25'!L239-F6-G6-H6</f>
        <v>2375713.7599999998</v>
      </c>
      <c r="E6" s="243"/>
      <c r="F6" s="244"/>
      <c r="G6" s="53">
        <f>'DOE25'!J203+'DOE25'!J221+'DOE25'!J239</f>
        <v>3404.63</v>
      </c>
      <c r="H6" s="53">
        <f>'DOE25'!K203+'DOE25'!K221+'DOE25'!K239</f>
        <v>1727.9999999999998</v>
      </c>
      <c r="I6" s="256"/>
    </row>
    <row r="7" spans="1:9" x14ac:dyDescent="0.2">
      <c r="A7" s="32">
        <v>2200</v>
      </c>
      <c r="B7" t="s">
        <v>821</v>
      </c>
      <c r="C7" s="276">
        <f t="shared" si="0"/>
        <v>1137569.6400000001</v>
      </c>
      <c r="D7" s="20">
        <f>'DOE25'!L204+'DOE25'!L222+'DOE25'!L240-F7-G7-H7</f>
        <v>1075889.55</v>
      </c>
      <c r="E7" s="243"/>
      <c r="F7" s="244"/>
      <c r="G7" s="53">
        <f>'DOE25'!J204+'DOE25'!J222+'DOE25'!J240</f>
        <v>61680.090000000004</v>
      </c>
      <c r="H7" s="53">
        <f>'DOE25'!K204+'DOE25'!K222+'DOE25'!K240</f>
        <v>0</v>
      </c>
      <c r="I7" s="256"/>
    </row>
    <row r="8" spans="1:9" x14ac:dyDescent="0.2">
      <c r="A8" s="32">
        <v>2300</v>
      </c>
      <c r="B8" t="s">
        <v>797</v>
      </c>
      <c r="C8" s="276">
        <f t="shared" si="0"/>
        <v>393085.29000000004</v>
      </c>
      <c r="D8" s="243"/>
      <c r="E8" s="20">
        <f>'DOE25'!L205+'DOE25'!L223+'DOE25'!L241-F8-G8-H8-D9-D11</f>
        <v>384547.61000000004</v>
      </c>
      <c r="F8" s="244"/>
      <c r="G8" s="53">
        <f>'DOE25'!J205+'DOE25'!J223+'DOE25'!J241</f>
        <v>0</v>
      </c>
      <c r="H8" s="53">
        <f>'DOE25'!K205+'DOE25'!K223+'DOE25'!K241</f>
        <v>8537.68</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1269165.1200000001</v>
      </c>
      <c r="D12" s="20">
        <f>'DOE25'!L206+'DOE25'!L224+'DOE25'!L242-F12-G12-H12</f>
        <v>1252931.2100000002</v>
      </c>
      <c r="E12" s="243"/>
      <c r="F12" s="244"/>
      <c r="G12" s="53">
        <f>'DOE25'!J206+'DOE25'!J224+'DOE25'!J242</f>
        <v>533.46</v>
      </c>
      <c r="H12" s="53">
        <f>'DOE25'!K206+'DOE25'!K224+'DOE25'!K242</f>
        <v>15700.45</v>
      </c>
      <c r="I12" s="256"/>
    </row>
    <row r="13" spans="1:9" x14ac:dyDescent="0.2">
      <c r="A13" s="32">
        <v>2500</v>
      </c>
      <c r="B13" t="s">
        <v>798</v>
      </c>
      <c r="C13" s="276">
        <f t="shared" si="0"/>
        <v>331171.69</v>
      </c>
      <c r="D13" s="243"/>
      <c r="E13" s="20">
        <f>'DOE25'!L207+'DOE25'!L225+'DOE25'!L243-F13-G13-H13</f>
        <v>327365.27</v>
      </c>
      <c r="F13" s="244"/>
      <c r="G13" s="53">
        <f>'DOE25'!J207+'DOE25'!J225+'DOE25'!J243</f>
        <v>0</v>
      </c>
      <c r="H13" s="53">
        <f>'DOE25'!K207+'DOE25'!K225+'DOE25'!K243</f>
        <v>3806.42</v>
      </c>
      <c r="I13" s="256"/>
    </row>
    <row r="14" spans="1:9" x14ac:dyDescent="0.2">
      <c r="A14" s="32">
        <v>2600</v>
      </c>
      <c r="B14" t="s">
        <v>819</v>
      </c>
      <c r="C14" s="276">
        <f t="shared" si="0"/>
        <v>1732205.6</v>
      </c>
      <c r="D14" s="20">
        <f>'DOE25'!L208+'DOE25'!L226+'DOE25'!L244-F14-G14-H14</f>
        <v>1629235.1700000002</v>
      </c>
      <c r="E14" s="243"/>
      <c r="F14" s="244"/>
      <c r="G14" s="53">
        <f>'DOE25'!J208+'DOE25'!J226+'DOE25'!J244</f>
        <v>102970.43000000001</v>
      </c>
      <c r="H14" s="53">
        <f>'DOE25'!K208+'DOE25'!K226+'DOE25'!K244</f>
        <v>0</v>
      </c>
      <c r="I14" s="256"/>
    </row>
    <row r="15" spans="1:9" x14ac:dyDescent="0.2">
      <c r="A15" s="32">
        <v>2700</v>
      </c>
      <c r="B15" t="s">
        <v>799</v>
      </c>
      <c r="C15" s="276">
        <f t="shared" si="0"/>
        <v>867453.24</v>
      </c>
      <c r="D15" s="20">
        <f>'DOE25'!L209+'DOE25'!L227+'DOE25'!L245-F15-G15-H15</f>
        <v>867453.24</v>
      </c>
      <c r="E15" s="243"/>
      <c r="F15" s="244"/>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2166.7800000000002</v>
      </c>
      <c r="D19" s="20">
        <f>'DOE25'!L254-F19-G19-H19</f>
        <v>2166.7800000000002</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345281.39</v>
      </c>
      <c r="D22" s="243"/>
      <c r="E22" s="243"/>
      <c r="F22" s="243"/>
      <c r="G22" s="53">
        <f>'DOE25'!L256+'DOE25'!L337</f>
        <v>345281.39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374268.7</v>
      </c>
      <c r="D29" s="284">
        <f>'DOE25'!L359+'DOE25'!L360+'DOE25'!L361-'DOE25'!I368-F29-G29-H29</f>
        <v>368024.56</v>
      </c>
      <c r="E29" s="243"/>
      <c r="F29" s="244"/>
      <c r="G29" s="53">
        <f>'DOE25'!J359+'DOE25'!J360+'DOE25'!J361</f>
        <v>4840.1400000000003</v>
      </c>
      <c r="H29" s="53">
        <f>'DOE25'!K359+'DOE25'!K360+'DOE25'!K361</f>
        <v>1404</v>
      </c>
      <c r="I29" s="256"/>
    </row>
    <row r="30" spans="1:9" x14ac:dyDescent="0.2">
      <c r="A30" s="32"/>
      <c r="C30" s="277"/>
      <c r="D30" s="20"/>
      <c r="E30" s="281"/>
      <c r="F30" s="271"/>
      <c r="G30" s="53"/>
      <c r="H30" s="53"/>
      <c r="I30" s="256"/>
    </row>
    <row r="31" spans="1:9" x14ac:dyDescent="0.2">
      <c r="A31" s="32" t="s">
        <v>818</v>
      </c>
      <c r="B31" t="s">
        <v>817</v>
      </c>
      <c r="C31" s="276">
        <f>SUM(D31:I31)</f>
        <v>871561.39999999991</v>
      </c>
      <c r="D31" s="20">
        <f>'DOE25'!L291+'DOE25'!L310+'DOE25'!L329+'DOE25'!L334+'DOE25'!L335+'DOE25'!L336-F31-G31-H31</f>
        <v>756653.89999999991</v>
      </c>
      <c r="E31" s="243"/>
      <c r="F31" s="244"/>
      <c r="G31" s="53">
        <f>'DOE25'!J291+'DOE25'!J310+'DOE25'!J329+'DOE25'!J334+'DOE25'!J335+'DOE25'!J336</f>
        <v>108017.45999999999</v>
      </c>
      <c r="H31" s="53">
        <f>'DOE25'!K291+'DOE25'!K310+'DOE25'!K329+'DOE25'!K334+'DOE25'!K335+'DOE25'!K336</f>
        <v>6890.04</v>
      </c>
      <c r="I31" s="256"/>
    </row>
    <row r="32" spans="1:9" ht="12" thickBot="1" x14ac:dyDescent="0.25">
      <c r="C32" s="277"/>
      <c r="G32" s="251"/>
      <c r="H32" s="251"/>
      <c r="I32" s="258"/>
    </row>
    <row r="33" spans="1:9" ht="12" thickTop="1" x14ac:dyDescent="0.2">
      <c r="B33" t="s">
        <v>809</v>
      </c>
      <c r="D33" s="245">
        <f t="shared" ref="D33:I33" si="1">SUM(D5:D31)</f>
        <v>21104309.870000001</v>
      </c>
      <c r="E33" s="245">
        <f t="shared" si="1"/>
        <v>711912.88000000012</v>
      </c>
      <c r="F33" s="245">
        <f t="shared" si="1"/>
        <v>0</v>
      </c>
      <c r="G33" s="245">
        <f t="shared" si="1"/>
        <v>691456.78</v>
      </c>
      <c r="H33" s="245">
        <f t="shared" si="1"/>
        <v>58734.74</v>
      </c>
      <c r="I33" s="245">
        <f t="shared" si="1"/>
        <v>0</v>
      </c>
    </row>
    <row r="35" spans="1:9" ht="12" thickBot="1" x14ac:dyDescent="0.25">
      <c r="B35" s="251" t="s">
        <v>831</v>
      </c>
      <c r="D35" s="252">
        <f>E33</f>
        <v>711912.88000000012</v>
      </c>
      <c r="E35" s="248"/>
    </row>
    <row r="36" spans="1:9" ht="12" thickTop="1" x14ac:dyDescent="0.2">
      <c r="B36" t="s">
        <v>810</v>
      </c>
      <c r="D36" s="20">
        <f>D33</f>
        <v>21104309.870000001</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B31" zoomScale="145" zoomScaleNormal="145"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Shaker Regional School Dsitrict</v>
      </c>
      <c r="B2" s="126">
        <f>'DOE25'!B2</f>
        <v>486</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9037194.209999999</v>
      </c>
      <c r="G4" s="303">
        <f>'DOE25'!L212+'DOE25'!L291</f>
        <v>9037194.2100000009</v>
      </c>
      <c r="H4" s="337">
        <f>F4-G4</f>
        <v>0</v>
      </c>
      <c r="I4" s="309" t="str">
        <f>IF(H4=0,"","Does not match DOE25 page 7 and 11 Totals!!")</f>
        <v/>
      </c>
      <c r="N4"/>
    </row>
    <row r="5" spans="1:18" x14ac:dyDescent="0.2">
      <c r="A5" s="21" t="s">
        <v>1418</v>
      </c>
      <c r="B5" s="304">
        <f>IFERROR(VLOOKUP(A5,'School Tables'!$C$3:$D$365,2,FALSE),"")</f>
        <v>22135</v>
      </c>
      <c r="C5" s="297" t="str">
        <f>IFERROR(INDEX('School Tables'!$B$3:$B$365,MATCH('School Level Expenditures'!B5,'School Tables'!$D$3:$D$365,0)),"")</f>
        <v>Shaker Regional</v>
      </c>
      <c r="D5" s="294">
        <v>6598848.3899999997</v>
      </c>
      <c r="E5" s="294">
        <v>477167.22</v>
      </c>
      <c r="F5" s="312">
        <f>D5+E5</f>
        <v>7076015.6099999994</v>
      </c>
      <c r="G5" s="297"/>
      <c r="H5" s="297"/>
      <c r="I5" s="126"/>
      <c r="N5"/>
    </row>
    <row r="6" spans="1:18" x14ac:dyDescent="0.2">
      <c r="A6" s="21" t="s">
        <v>1417</v>
      </c>
      <c r="B6" s="304">
        <f>IFERROR(VLOOKUP(A6,'School Tables'!$C$3:$D$365,2,FALSE),"")</f>
        <v>22165</v>
      </c>
      <c r="C6" s="297" t="str">
        <f>IFERROR(INDEX('School Tables'!$B$3:$B$365,MATCH('School Level Expenditures'!B6,'School Tables'!$D$3:$D$365,0)),"")</f>
        <v>Shaker Regional</v>
      </c>
      <c r="D6" s="294">
        <v>1931769.74</v>
      </c>
      <c r="E6" s="294">
        <v>29408.86</v>
      </c>
      <c r="F6" s="307">
        <f t="shared" ref="F6:F20" si="0">D6+E6</f>
        <v>1961178.6</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6345198.6399999997</v>
      </c>
      <c r="G24" s="303">
        <f>'DOE25'!L230+'DOE25'!L310</f>
        <v>6345198.6399999997</v>
      </c>
      <c r="H24" s="337">
        <f>F24-G24</f>
        <v>0</v>
      </c>
      <c r="I24" s="309" t="str">
        <f>IF(H24=0,"","Does not match DOE25 page 8 and 12 Totals!!")</f>
        <v/>
      </c>
      <c r="N24"/>
    </row>
    <row r="25" spans="1:14" x14ac:dyDescent="0.2">
      <c r="A25" s="21" t="s">
        <v>1420</v>
      </c>
      <c r="B25" s="304">
        <f>IFERROR(VLOOKUP(A25,'School Tables'!$I$3:$J$80,2,FALSE),"")</f>
        <v>22150</v>
      </c>
      <c r="C25" s="297" t="str">
        <f t="array" ref="C25">IFERROR(INDEX('School Tables'!$H$3:$H$80,MATCH('School Level Expenditures'!B25,'School Tables'!$J$3:$J$80,0)),"")</f>
        <v>Shaker Regional</v>
      </c>
      <c r="D25" s="294">
        <v>6134910.6399999997</v>
      </c>
      <c r="E25" s="294">
        <v>210288</v>
      </c>
      <c r="F25" s="307">
        <f>D25+E25</f>
        <v>6345198.6399999997</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23.2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6462304.5500000007</v>
      </c>
      <c r="G36" s="303">
        <f>'DOE25'!L248+'DOE25'!L329</f>
        <v>6462304.5499999998</v>
      </c>
      <c r="H36" s="337">
        <f>F36-G36</f>
        <v>0</v>
      </c>
      <c r="I36" s="309" t="str">
        <f>IF(H36=0,"","Does not match DOE25 page 9 and 13 Totals!!")</f>
        <v/>
      </c>
      <c r="N36"/>
    </row>
    <row r="37" spans="1:14" x14ac:dyDescent="0.2">
      <c r="A37" s="21" t="s">
        <v>1419</v>
      </c>
      <c r="B37" s="304">
        <f>IFERROR(VLOOKUP(A37,'School Tables'!$O$3:$P$118,2,FALSE),"")</f>
        <v>22145</v>
      </c>
      <c r="C37" s="297" t="str">
        <f t="array" ref="C37">IFERROR(INDEX('School Tables'!$N$3:$N$118,MATCH('School Level Expenditures'!B37,'School Tables'!$P$3:$P$118,0)),"")</f>
        <v>Shaker Regional</v>
      </c>
      <c r="D37" s="294">
        <v>6307607.2300000004</v>
      </c>
      <c r="E37" s="294">
        <v>154697.32</v>
      </c>
      <c r="F37" s="307">
        <f>D37+E37</f>
        <v>6462304.5500000007</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Shaker Regional School Dsitrict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791993.63</v>
      </c>
      <c r="D8" s="95">
        <f>'DOE25'!G9</f>
        <v>0</v>
      </c>
      <c r="E8" s="95">
        <f>'DOE25'!H9</f>
        <v>0</v>
      </c>
      <c r="F8" s="95">
        <f>'DOE25'!I9</f>
        <v>0</v>
      </c>
      <c r="G8" s="95">
        <f>'DOE25'!J9</f>
        <v>0</v>
      </c>
      <c r="H8" s="124"/>
      <c r="I8" s="124"/>
    </row>
    <row r="9" spans="1:9" x14ac:dyDescent="0.2">
      <c r="A9" s="1" t="s">
        <v>140</v>
      </c>
      <c r="B9" s="6">
        <v>110</v>
      </c>
      <c r="C9" s="95">
        <f>'DOE25'!F10</f>
        <v>1522.9</v>
      </c>
      <c r="D9" s="95">
        <f>'DOE25'!G10</f>
        <v>963.15</v>
      </c>
      <c r="E9" s="95">
        <f>'DOE25'!H10</f>
        <v>0</v>
      </c>
      <c r="F9" s="95">
        <f>'DOE25'!I10</f>
        <v>0</v>
      </c>
      <c r="G9" s="95">
        <f>'DOE25'!J10</f>
        <v>786374.54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1450362.03</v>
      </c>
      <c r="D11" s="95">
        <f>'DOE25'!G12</f>
        <v>566441.86</v>
      </c>
      <c r="E11" s="95">
        <f>'DOE25'!H12</f>
        <v>1322656.1299999999</v>
      </c>
      <c r="F11" s="95">
        <f>'DOE25'!I12</f>
        <v>0</v>
      </c>
      <c r="G11" s="95">
        <f>'DOE25'!J12</f>
        <v>0</v>
      </c>
      <c r="H11" s="124"/>
      <c r="I11" s="124"/>
    </row>
    <row r="12" spans="1:9" x14ac:dyDescent="0.2">
      <c r="A12" s="1" t="s">
        <v>143</v>
      </c>
      <c r="B12" s="6">
        <v>140</v>
      </c>
      <c r="C12" s="95">
        <f>'DOE25'!F13</f>
        <v>1144328.94</v>
      </c>
      <c r="D12" s="95">
        <f>'DOE25'!G13</f>
        <v>37503.279999999999</v>
      </c>
      <c r="E12" s="95">
        <f>'DOE25'!H13</f>
        <v>177369.22</v>
      </c>
      <c r="F12" s="95">
        <f>'DOE25'!I13</f>
        <v>0</v>
      </c>
      <c r="G12" s="95">
        <f>'DOE25'!J13</f>
        <v>0</v>
      </c>
      <c r="H12" s="124"/>
      <c r="I12" s="124"/>
    </row>
    <row r="13" spans="1:9" x14ac:dyDescent="0.2">
      <c r="A13" s="1" t="s">
        <v>144</v>
      </c>
      <c r="B13" s="6">
        <v>150</v>
      </c>
      <c r="C13" s="95">
        <f>'DOE25'!F14</f>
        <v>20252.32</v>
      </c>
      <c r="D13" s="95">
        <f>'DOE25'!G14</f>
        <v>1886.47</v>
      </c>
      <c r="E13" s="95">
        <f>'DOE25'!H14</f>
        <v>3327.03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69605.11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3478064.9299999997</v>
      </c>
      <c r="D18" s="41">
        <f>SUM(D8:D17)</f>
        <v>606794.76</v>
      </c>
      <c r="E18" s="41">
        <f>SUM(E8:E17)</f>
        <v>1503352.38</v>
      </c>
      <c r="F18" s="41">
        <f>SUM(F8:F17)</f>
        <v>0</v>
      </c>
      <c r="G18" s="41">
        <f>SUM(G8:G17)</f>
        <v>786374.54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1451333.18</v>
      </c>
      <c r="D21" s="95">
        <f>'DOE25'!G22</f>
        <v>584449.30000000005</v>
      </c>
      <c r="E21" s="95">
        <f>'DOE25'!H22</f>
        <v>1303677.51</v>
      </c>
      <c r="F21" s="95">
        <f>'DOE25'!I22</f>
        <v>0</v>
      </c>
      <c r="G21" s="95">
        <f>'DOE25'!J22</f>
        <v>0</v>
      </c>
      <c r="H21" s="124"/>
      <c r="I21" s="124"/>
    </row>
    <row r="22" spans="1:9" x14ac:dyDescent="0.2">
      <c r="A22" s="1" t="s">
        <v>151</v>
      </c>
      <c r="B22" s="6">
        <v>410</v>
      </c>
      <c r="C22" s="95">
        <f>'DOE25'!F23</f>
        <v>54545.95</v>
      </c>
      <c r="D22" s="95">
        <f>'DOE25'!G23</f>
        <v>101.25</v>
      </c>
      <c r="E22" s="95">
        <f>'DOE25'!H23</f>
        <v>0</v>
      </c>
      <c r="F22" s="95">
        <f>'DOE25'!I23</f>
        <v>0</v>
      </c>
      <c r="G22" s="95">
        <f>'DOE25'!J23</f>
        <v>144403</v>
      </c>
      <c r="H22" s="124"/>
      <c r="I22" s="124"/>
    </row>
    <row r="23" spans="1:9" x14ac:dyDescent="0.2">
      <c r="A23" s="1" t="s">
        <v>152</v>
      </c>
      <c r="B23" s="6">
        <v>420</v>
      </c>
      <c r="C23" s="95">
        <f>'DOE25'!F24</f>
        <v>147744.26</v>
      </c>
      <c r="D23" s="95">
        <f>'DOE25'!G24</f>
        <v>1379.95</v>
      </c>
      <c r="E23" s="95">
        <f>'DOE25'!H24</f>
        <v>2955.17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32263.489999999998</v>
      </c>
      <c r="D27" s="95">
        <f>'DOE25'!G28</f>
        <v>2164.69</v>
      </c>
      <c r="E27" s="95">
        <f>'DOE25'!H28</f>
        <v>696.26</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20174</v>
      </c>
      <c r="D29" s="95">
        <f>'DOE25'!G30</f>
        <v>18699.57</v>
      </c>
      <c r="E29" s="95">
        <f>'DOE25'!H30</f>
        <v>196023.44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1706060.88</v>
      </c>
      <c r="D31" s="41">
        <f>SUM(D21:D30)</f>
        <v>606794.75999999989</v>
      </c>
      <c r="E31" s="41">
        <f>SUM(E21:E30)</f>
        <v>1503352.38</v>
      </c>
      <c r="F31" s="41">
        <f>SUM(F21:F30)</f>
        <v>0</v>
      </c>
      <c r="G31" s="41">
        <f>SUM(G21:G30)</f>
        <v>144403</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69605.11</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257750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385967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35000</v>
      </c>
      <c r="D47" s="95">
        <f>'DOE25'!G48</f>
        <v>0</v>
      </c>
      <c r="E47" s="95">
        <f>'DOE25'!H48</f>
        <v>0</v>
      </c>
      <c r="F47" s="95">
        <f>'DOE25'!I48</f>
        <v>0</v>
      </c>
      <c r="G47" s="95">
        <f>'DOE25'!J48</f>
        <v>641971.54</v>
      </c>
      <c r="H47" s="124"/>
      <c r="I47" s="124"/>
    </row>
    <row r="48" spans="1:9" x14ac:dyDescent="0.2">
      <c r="A48" s="1" t="s">
        <v>882</v>
      </c>
      <c r="B48" s="6">
        <v>753</v>
      </c>
      <c r="C48" s="95">
        <f>'DOE25'!F49</f>
        <v>73007.83</v>
      </c>
      <c r="D48" s="95">
        <f>'DOE25'!G49</f>
        <v>0</v>
      </c>
      <c r="E48" s="95">
        <f>'DOE25'!H49</f>
        <v>0</v>
      </c>
      <c r="F48" s="95">
        <f>'DOE25'!I49</f>
        <v>0</v>
      </c>
      <c r="G48" s="95">
        <f>'DOE25'!J49</f>
        <v>0</v>
      </c>
      <c r="H48" s="124"/>
      <c r="I48" s="124"/>
    </row>
    <row r="49" spans="1:9" ht="12" thickBot="1" x14ac:dyDescent="0.25">
      <c r="A49" s="29" t="s">
        <v>883</v>
      </c>
      <c r="B49" s="71">
        <v>770</v>
      </c>
      <c r="C49" s="95">
        <f>'DOE25'!F50</f>
        <v>950674.11</v>
      </c>
      <c r="D49" s="24" t="s">
        <v>288</v>
      </c>
      <c r="E49" s="24" t="s">
        <v>288</v>
      </c>
      <c r="F49" s="24" t="s">
        <v>288</v>
      </c>
      <c r="G49" s="24" t="s">
        <v>288</v>
      </c>
      <c r="H49" s="124"/>
      <c r="I49" s="124"/>
    </row>
    <row r="50" spans="1:9" ht="12.75" thickTop="1" thickBot="1" x14ac:dyDescent="0.25">
      <c r="A50" s="38" t="s">
        <v>884</v>
      </c>
      <c r="B50" s="48"/>
      <c r="C50" s="41">
        <f>SUM(C34:C49)</f>
        <v>1772004.0499999998</v>
      </c>
      <c r="D50" s="41">
        <f>SUM(D34:D49)</f>
        <v>0</v>
      </c>
      <c r="E50" s="41">
        <f>SUM(E34:E49)</f>
        <v>0</v>
      </c>
      <c r="F50" s="41">
        <f>SUM(F34:F49)</f>
        <v>0</v>
      </c>
      <c r="G50" s="41">
        <f>SUM(G34:G49)</f>
        <v>641971.54</v>
      </c>
      <c r="H50" s="124"/>
      <c r="I50" s="124"/>
    </row>
    <row r="51" spans="1:9" ht="12" thickTop="1" x14ac:dyDescent="0.2">
      <c r="A51" s="38" t="s">
        <v>885</v>
      </c>
      <c r="B51" s="2"/>
      <c r="C51" s="41">
        <f>C50+C31</f>
        <v>3478064.9299999997</v>
      </c>
      <c r="D51" s="41">
        <f>D50+D31</f>
        <v>606794.75999999989</v>
      </c>
      <c r="E51" s="41">
        <f>E50+E31</f>
        <v>1503352.38</v>
      </c>
      <c r="F51" s="41">
        <f>F50+F31</f>
        <v>0</v>
      </c>
      <c r="G51" s="41">
        <f>G50+G31</f>
        <v>786374.54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14507154</v>
      </c>
      <c r="D56" s="95">
        <f>'DOE25'!G60</f>
        <v>0</v>
      </c>
      <c r="E56" s="95">
        <f>'DOE25'!H60</f>
        <v>0</v>
      </c>
      <c r="F56" s="95">
        <f>'DOE25'!I60</f>
        <v>0</v>
      </c>
      <c r="G56" s="95">
        <f>'DOE25'!J60</f>
        <v>0</v>
      </c>
      <c r="H56"/>
      <c r="I56"/>
    </row>
    <row r="57" spans="1:9" x14ac:dyDescent="0.2">
      <c r="A57" s="1" t="s">
        <v>164</v>
      </c>
      <c r="B57" s="6" t="s">
        <v>165</v>
      </c>
      <c r="C57" s="95">
        <f>'DOE25'!F79</f>
        <v>16641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3526.57</v>
      </c>
      <c r="D59" s="95">
        <f>'DOE25'!G96</f>
        <v>0</v>
      </c>
      <c r="E59" s="95">
        <f>'DOE25'!H96</f>
        <v>0</v>
      </c>
      <c r="F59" s="95">
        <f>'DOE25'!I96</f>
        <v>0</v>
      </c>
      <c r="G59" s="95">
        <f>'DOE25'!J96</f>
        <v>10056.39</v>
      </c>
      <c r="H59"/>
      <c r="I59"/>
    </row>
    <row r="60" spans="1:9" x14ac:dyDescent="0.2">
      <c r="A60" s="1" t="s">
        <v>170</v>
      </c>
      <c r="B60" s="118" t="s">
        <v>171</v>
      </c>
      <c r="C60" s="24" t="s">
        <v>288</v>
      </c>
      <c r="D60" s="95">
        <f>'DOE25'!G97</f>
        <v>176322.49</v>
      </c>
      <c r="E60" s="24" t="s">
        <v>288</v>
      </c>
      <c r="F60" s="24" t="s">
        <v>288</v>
      </c>
      <c r="G60" s="24" t="s">
        <v>288</v>
      </c>
      <c r="H60"/>
      <c r="I60"/>
    </row>
    <row r="61" spans="1:9" ht="12" thickBot="1" x14ac:dyDescent="0.25">
      <c r="A61" s="1" t="s">
        <v>172</v>
      </c>
      <c r="B61" s="118" t="s">
        <v>173</v>
      </c>
      <c r="C61" s="95">
        <f>SUM('DOE25'!F98:F110)</f>
        <v>29205.65</v>
      </c>
      <c r="D61" s="95">
        <f>SUM('DOE25'!G98:G110)</f>
        <v>5749.13</v>
      </c>
      <c r="E61" s="95">
        <f>SUM('DOE25'!H98:H110)</f>
        <v>63274.61</v>
      </c>
      <c r="F61" s="95">
        <f>SUM('DOE25'!I98:I110)</f>
        <v>0</v>
      </c>
      <c r="G61" s="95">
        <f>SUM('DOE25'!J98:J110)</f>
        <v>0</v>
      </c>
      <c r="H61"/>
      <c r="I61"/>
    </row>
    <row r="62" spans="1:9" ht="12.75" thickTop="1" thickBot="1" x14ac:dyDescent="0.25">
      <c r="A62" s="29" t="s">
        <v>174</v>
      </c>
      <c r="B62" s="6"/>
      <c r="C62" s="130">
        <f>SUM(C57:C61)</f>
        <v>49373.22</v>
      </c>
      <c r="D62" s="130">
        <f>SUM(D57:D61)</f>
        <v>182071.62</v>
      </c>
      <c r="E62" s="130">
        <f>SUM(E57:E61)</f>
        <v>63274.61</v>
      </c>
      <c r="F62" s="130">
        <f>SUM(F57:F61)</f>
        <v>0</v>
      </c>
      <c r="G62" s="130">
        <f>SUM(G57:G61)</f>
        <v>10056.39</v>
      </c>
      <c r="H62"/>
      <c r="I62"/>
    </row>
    <row r="63" spans="1:9" ht="12" thickTop="1" x14ac:dyDescent="0.2">
      <c r="A63" s="29" t="s">
        <v>175</v>
      </c>
      <c r="B63" s="6"/>
      <c r="C63" s="22">
        <f>C56+C62</f>
        <v>14556527.220000001</v>
      </c>
      <c r="D63" s="22">
        <f>D56+D62</f>
        <v>182071.62</v>
      </c>
      <c r="E63" s="22">
        <f>E56+E62</f>
        <v>63274.61</v>
      </c>
      <c r="F63" s="22">
        <f>F56+F62</f>
        <v>0</v>
      </c>
      <c r="G63" s="22">
        <f>G56+G62</f>
        <v>10056.39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5204719.84</v>
      </c>
      <c r="D66" s="24" t="s">
        <v>288</v>
      </c>
      <c r="E66" s="24" t="s">
        <v>288</v>
      </c>
      <c r="F66" s="24" t="s">
        <v>288</v>
      </c>
      <c r="G66" s="24" t="s">
        <v>288</v>
      </c>
      <c r="H66"/>
      <c r="I66"/>
    </row>
    <row r="67" spans="1:9" x14ac:dyDescent="0.2">
      <c r="A67" s="1" t="s">
        <v>770</v>
      </c>
      <c r="B67" s="6">
        <v>3112</v>
      </c>
      <c r="C67" s="95">
        <f>'DOE25'!F118</f>
        <v>1941973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7148648.9299999997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42610.01</v>
      </c>
      <c r="D75" s="24" t="s">
        <v>288</v>
      </c>
      <c r="E75" s="24" t="s">
        <v>288</v>
      </c>
      <c r="F75" s="24" t="s">
        <v>288</v>
      </c>
      <c r="G75" s="24" t="s">
        <v>288</v>
      </c>
      <c r="H75"/>
      <c r="I75"/>
    </row>
    <row r="76" spans="1:9" x14ac:dyDescent="0.2">
      <c r="A76" s="1" t="s">
        <v>257</v>
      </c>
      <c r="B76" s="6" t="s">
        <v>179</v>
      </c>
      <c r="C76" s="95">
        <f>SUM('DOE25'!F127:F130)</f>
        <v>10463.6</v>
      </c>
      <c r="D76" s="24" t="s">
        <v>288</v>
      </c>
      <c r="E76" s="95">
        <f>SUM('DOE25'!H127:H130)</f>
        <v>14161</v>
      </c>
      <c r="F76" s="95">
        <f>SUM('DOE25'!I127:I130)</f>
        <v>0</v>
      </c>
      <c r="G76" s="24" t="s">
        <v>288</v>
      </c>
      <c r="H76"/>
      <c r="I76"/>
    </row>
    <row r="77" spans="1:9" ht="12" thickBot="1" x14ac:dyDescent="0.25">
      <c r="A77" s="1" t="s">
        <v>258</v>
      </c>
      <c r="B77" s="6" t="s">
        <v>180</v>
      </c>
      <c r="C77" s="95">
        <f>SUM('DOE25'!F131:F135)</f>
        <v>0</v>
      </c>
      <c r="D77" s="95">
        <f>SUM('DOE25'!G131:G135)</f>
        <v>7882.25</v>
      </c>
      <c r="E77" s="95">
        <f>SUM('DOE25'!H131:H135)</f>
        <v>0</v>
      </c>
      <c r="F77" s="95">
        <f>SUM('DOE25'!I131:I135)</f>
        <v>0</v>
      </c>
      <c r="G77" s="95">
        <f>SUM('DOE25'!J131:J135)</f>
        <v>0</v>
      </c>
      <c r="H77"/>
      <c r="I77"/>
    </row>
    <row r="78" spans="1:9" ht="12.75" thickTop="1" thickBot="1" x14ac:dyDescent="0.25">
      <c r="A78" s="29" t="s">
        <v>259</v>
      </c>
      <c r="B78" s="6"/>
      <c r="C78" s="130">
        <f>SUM(C72:C77)</f>
        <v>53073.61</v>
      </c>
      <c r="D78" s="130">
        <f>SUM(D72:D77)</f>
        <v>7882.25</v>
      </c>
      <c r="E78" s="130">
        <f>SUM(E72:E77)</f>
        <v>14161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7201722.54</v>
      </c>
      <c r="D81" s="130">
        <f>SUM(D79:D80)+D78+D70</f>
        <v>7882.25</v>
      </c>
      <c r="E81" s="130">
        <f>SUM(E79:E80)+E78+E70</f>
        <v>14161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46616.62</v>
      </c>
      <c r="D88" s="341">
        <f>SUM('DOE25'!G153:G162)</f>
        <v>303633.07</v>
      </c>
      <c r="E88" s="341">
        <f>SUM('DOE25'!H153:H162)</f>
        <v>794125.79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46616.62</v>
      </c>
      <c r="D91" s="131">
        <f>SUM(D85:D90)</f>
        <v>303633.07</v>
      </c>
      <c r="E91" s="131">
        <f>SUM(E85:E90)</f>
        <v>794125.79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63230.720000000001</v>
      </c>
      <c r="E96" s="95">
        <f>'DOE25'!H180</f>
        <v>0</v>
      </c>
      <c r="F96" s="95">
        <f>'DOE25'!I180</f>
        <v>0</v>
      </c>
      <c r="G96" s="95">
        <f>'DOE25'!J180</f>
        <v>140000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144403</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144403</v>
      </c>
      <c r="D103" s="86">
        <f>SUM(D93:D102)</f>
        <v>63230.720000000001</v>
      </c>
      <c r="E103" s="86">
        <f>SUM(E93:E102)</f>
        <v>0</v>
      </c>
      <c r="F103" s="86">
        <f>SUM(F93:F102)</f>
        <v>0</v>
      </c>
      <c r="G103" s="86">
        <f>SUM(G93:G102)</f>
        <v>140000</v>
      </c>
    </row>
    <row r="104" spans="1:7" ht="12.75" thickTop="1" thickBot="1" x14ac:dyDescent="0.25">
      <c r="A104" s="33" t="s">
        <v>761</v>
      </c>
      <c r="C104" s="86">
        <f>C63+C81+C91+C103</f>
        <v>21949269.380000003</v>
      </c>
      <c r="D104" s="86">
        <f>D63+D81+D91+D103</f>
        <v>556817.66</v>
      </c>
      <c r="E104" s="86">
        <f>E63+E81+E91+E103</f>
        <v>871561.4</v>
      </c>
      <c r="F104" s="86">
        <f>F63+F81+F91+F103</f>
        <v>0</v>
      </c>
      <c r="G104" s="86">
        <f>G63+G81+G103</f>
        <v>150056.39000000001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8981804.8399999999</v>
      </c>
      <c r="D109" s="24" t="s">
        <v>288</v>
      </c>
      <c r="E109" s="95">
        <f>('DOE25'!L277)+('DOE25'!L296)+('DOE25'!L315)</f>
        <v>350857.02</v>
      </c>
      <c r="F109" s="24" t="s">
        <v>288</v>
      </c>
      <c r="G109" s="24" t="s">
        <v>288</v>
      </c>
    </row>
    <row r="110" spans="1:7" x14ac:dyDescent="0.2">
      <c r="A110" t="s">
        <v>198</v>
      </c>
      <c r="B110" s="32" t="s">
        <v>199</v>
      </c>
      <c r="C110" s="95">
        <f>('DOE25'!L199)+('DOE25'!L217)+('DOE25'!L235)</f>
        <v>3305859.4599999995</v>
      </c>
      <c r="D110" s="24" t="s">
        <v>288</v>
      </c>
      <c r="E110" s="95">
        <f>('DOE25'!L278)+('DOE25'!L297)+('DOE25'!L316)</f>
        <v>296209.82</v>
      </c>
      <c r="F110" s="24" t="s">
        <v>288</v>
      </c>
      <c r="G110" s="24" t="s">
        <v>288</v>
      </c>
    </row>
    <row r="111" spans="1:7" x14ac:dyDescent="0.2">
      <c r="A111" t="s">
        <v>200</v>
      </c>
      <c r="B111" s="32" t="s">
        <v>165</v>
      </c>
      <c r="C111" s="95">
        <f>('DOE25'!L200)+('DOE25'!L218)+('DOE25'!L236)</f>
        <v>170853.57</v>
      </c>
      <c r="D111" s="24" t="s">
        <v>288</v>
      </c>
      <c r="E111" s="95">
        <f>('DOE25'!L279)+('DOE25'!L298)+('DOE25'!L317)</f>
        <v>0</v>
      </c>
      <c r="F111" s="24" t="s">
        <v>288</v>
      </c>
      <c r="G111" s="24" t="s">
        <v>288</v>
      </c>
    </row>
    <row r="112" spans="1:7" x14ac:dyDescent="0.2">
      <c r="A112" t="s">
        <v>201</v>
      </c>
      <c r="B112" s="32" t="s">
        <v>167</v>
      </c>
      <c r="C112" s="95">
        <f>('DOE25'!L201)+('DOE25'!L219)+('DOE25'!L237)</f>
        <v>403121.16000000003</v>
      </c>
      <c r="D112" s="24" t="s">
        <v>288</v>
      </c>
      <c r="E112" s="95">
        <f>+('DOE25'!L280)+('DOE25'!L299)+('DOE25'!L318)</f>
        <v>59862.960000000006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2166.7800000000002</v>
      </c>
      <c r="D114" s="24" t="s">
        <v>288</v>
      </c>
      <c r="E114" s="95">
        <f>+ SUM('DOE25'!L334:L336)</f>
        <v>0</v>
      </c>
      <c r="F114" s="24" t="s">
        <v>288</v>
      </c>
      <c r="G114" s="24" t="s">
        <v>288</v>
      </c>
    </row>
    <row r="115" spans="1:7" ht="12.75" thickTop="1" thickBot="1" x14ac:dyDescent="0.25">
      <c r="A115" s="33" t="s">
        <v>205</v>
      </c>
      <c r="C115" s="86">
        <f>SUM(C109:C114)</f>
        <v>12863805.809999999</v>
      </c>
      <c r="D115" s="86">
        <f>SUM(D109:D114)</f>
        <v>0</v>
      </c>
      <c r="E115" s="86">
        <f>SUM(E109:E114)</f>
        <v>706929.8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2380846.3899999997</v>
      </c>
      <c r="D118" s="24" t="s">
        <v>288</v>
      </c>
      <c r="E118" s="95">
        <f>+('DOE25'!L282)+('DOE25'!L301)+('DOE25'!L320)</f>
        <v>2481</v>
      </c>
      <c r="F118" s="24" t="s">
        <v>288</v>
      </c>
      <c r="G118" s="24" t="s">
        <v>288</v>
      </c>
    </row>
    <row r="119" spans="1:7" x14ac:dyDescent="0.2">
      <c r="A119" t="s">
        <v>208</v>
      </c>
      <c r="B119" s="32" t="s">
        <v>209</v>
      </c>
      <c r="C119" s="95">
        <f>('DOE25'!L204)+('DOE25'!L222)+('DOE25'!L240)</f>
        <v>1137569.6400000001</v>
      </c>
      <c r="D119" s="24" t="s">
        <v>288</v>
      </c>
      <c r="E119" s="95">
        <f>+('DOE25'!L283)+('DOE25'!L302)+('DOE25'!L321)</f>
        <v>116231.84</v>
      </c>
      <c r="F119" s="24" t="s">
        <v>288</v>
      </c>
      <c r="G119" s="24" t="s">
        <v>288</v>
      </c>
    </row>
    <row r="120" spans="1:7" x14ac:dyDescent="0.2">
      <c r="A120" t="s">
        <v>210</v>
      </c>
      <c r="B120" s="32" t="s">
        <v>211</v>
      </c>
      <c r="C120" s="95">
        <f>('DOE25'!L205)+('DOE25'!L223)+('DOE25'!L241)</f>
        <v>393085.29000000004</v>
      </c>
      <c r="D120" s="24" t="s">
        <v>288</v>
      </c>
      <c r="E120" s="95">
        <f>+('DOE25'!L284)+('DOE25'!L303)+('DOE25'!L322)</f>
        <v>0</v>
      </c>
      <c r="F120" s="24" t="s">
        <v>288</v>
      </c>
      <c r="G120" s="24" t="s">
        <v>288</v>
      </c>
    </row>
    <row r="121" spans="1:7" x14ac:dyDescent="0.2">
      <c r="A121" t="s">
        <v>212</v>
      </c>
      <c r="B121" s="32" t="s">
        <v>213</v>
      </c>
      <c r="C121" s="95">
        <f>('DOE25'!L206)+('DOE25'!L224)+('DOE25'!L242)</f>
        <v>1269165.1200000001</v>
      </c>
      <c r="D121" s="24" t="s">
        <v>288</v>
      </c>
      <c r="E121" s="95">
        <f>+('DOE25'!L285)+('DOE25'!L304)+('DOE25'!L323)</f>
        <v>0</v>
      </c>
      <c r="F121" s="24" t="s">
        <v>288</v>
      </c>
      <c r="G121" s="24" t="s">
        <v>288</v>
      </c>
    </row>
    <row r="122" spans="1:7" x14ac:dyDescent="0.2">
      <c r="A122" t="s">
        <v>214</v>
      </c>
      <c r="B122" s="32" t="s">
        <v>215</v>
      </c>
      <c r="C122" s="95">
        <f>('DOE25'!L207)+('DOE25'!L225)+('DOE25'!L243)</f>
        <v>331171.69</v>
      </c>
      <c r="D122" s="24" t="s">
        <v>288</v>
      </c>
      <c r="E122" s="95">
        <f>+('DOE25'!L286)+('DOE25'!L305)+('DOE25'!L324)</f>
        <v>0</v>
      </c>
      <c r="F122" s="24" t="s">
        <v>288</v>
      </c>
      <c r="G122" s="24" t="s">
        <v>288</v>
      </c>
    </row>
    <row r="123" spans="1:7" x14ac:dyDescent="0.2">
      <c r="A123" t="s">
        <v>216</v>
      </c>
      <c r="B123" s="32" t="s">
        <v>217</v>
      </c>
      <c r="C123" s="95">
        <f>('DOE25'!L208)+('DOE25'!L226)+('DOE25'!L244)</f>
        <v>1732205.6</v>
      </c>
      <c r="D123" s="24" t="s">
        <v>288</v>
      </c>
      <c r="E123" s="95">
        <f>+('DOE25'!L287)+('DOE25'!L306)+('DOE25'!L325)</f>
        <v>21751.26</v>
      </c>
      <c r="F123" s="24" t="s">
        <v>288</v>
      </c>
      <c r="G123" s="24" t="s">
        <v>288</v>
      </c>
    </row>
    <row r="124" spans="1:7" x14ac:dyDescent="0.2">
      <c r="A124" t="s">
        <v>218</v>
      </c>
      <c r="B124" s="32" t="s">
        <v>219</v>
      </c>
      <c r="C124" s="95">
        <f>('DOE25'!L209)+('DOE25'!L227)+('DOE25'!L245+'DOE25'!L255)</f>
        <v>867453.24</v>
      </c>
      <c r="D124" s="24" t="s">
        <v>288</v>
      </c>
      <c r="E124" s="95">
        <f>+('DOE25'!L288)+('DOE25'!L307)+('DOE25'!L326)</f>
        <v>24167.5</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586685.75</v>
      </c>
      <c r="E127" s="24" t="s">
        <v>288</v>
      </c>
      <c r="F127" s="24" t="s">
        <v>288</v>
      </c>
      <c r="G127" s="24" t="s">
        <v>288</v>
      </c>
    </row>
    <row r="128" spans="1:7" ht="12.75" thickTop="1" thickBot="1" x14ac:dyDescent="0.25">
      <c r="A128" s="33" t="s">
        <v>226</v>
      </c>
      <c r="C128" s="86">
        <f>SUM(C118:C127)</f>
        <v>8111496.9700000007</v>
      </c>
      <c r="D128" s="86">
        <f>SUM(D118:D127)</f>
        <v>586685.75</v>
      </c>
      <c r="E128" s="86">
        <f>SUM(E118:E127)</f>
        <v>164631.6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345281.39</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144403</v>
      </c>
    </row>
    <row r="135" spans="1:7" x14ac:dyDescent="0.2">
      <c r="A135" t="s">
        <v>233</v>
      </c>
      <c r="B135" s="32" t="s">
        <v>234</v>
      </c>
      <c r="C135" s="95">
        <f>'DOE25'!L264</f>
        <v>63230.720000000001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411.94</v>
      </c>
      <c r="D138" s="24" t="s">
        <v>288</v>
      </c>
      <c r="E138" s="24" t="s">
        <v>288</v>
      </c>
      <c r="F138" s="24" t="s">
        <v>288</v>
      </c>
      <c r="G138" s="24" t="s">
        <v>288</v>
      </c>
    </row>
    <row r="139" spans="1:7" x14ac:dyDescent="0.2">
      <c r="A139" t="s">
        <v>239</v>
      </c>
      <c r="B139" s="32">
        <v>5252</v>
      </c>
      <c r="C139" s="95">
        <f>'DOE25'!L402</f>
        <v>149644.45000000001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-10056.390000000014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548512.11</v>
      </c>
      <c r="D144" s="141">
        <f>SUM(D130:D143)</f>
        <v>0</v>
      </c>
      <c r="E144" s="141">
        <f>SUM(E130:E143)</f>
        <v>0</v>
      </c>
      <c r="F144" s="141">
        <f>SUM(F130:F143)</f>
        <v>0</v>
      </c>
      <c r="G144" s="141">
        <f>SUM(G130:G143)</f>
        <v>144403</v>
      </c>
    </row>
    <row r="145" spans="1:9" ht="12.75" thickTop="1" thickBot="1" x14ac:dyDescent="0.25">
      <c r="A145" s="33" t="s">
        <v>244</v>
      </c>
      <c r="C145" s="86">
        <f>(C115+C128+C144)</f>
        <v>21523814.890000001</v>
      </c>
      <c r="D145" s="86">
        <f>(D115+D128+D144)</f>
        <v>586685.75</v>
      </c>
      <c r="E145" s="86">
        <f>(E115+E128+E144)</f>
        <v>871561.4</v>
      </c>
      <c r="F145" s="86">
        <f>(F115+F128+F144)</f>
        <v>0</v>
      </c>
      <c r="G145" s="86">
        <f>(G115+G128+G144)</f>
        <v>144403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2" zoomScale="145" zoomScaleNormal="145"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Shaker Regional School Dsitrict</v>
      </c>
    </row>
    <row r="3" spans="1:4" x14ac:dyDescent="0.2">
      <c r="B3" s="188" t="s">
        <v>1587</v>
      </c>
    </row>
    <row r="4" spans="1:4" x14ac:dyDescent="0.2">
      <c r="B4" t="s">
        <v>61</v>
      </c>
      <c r="C4" s="179">
        <f>IF('DOE25'!F666+'DOE25'!F671=0,0,ROUND('DOE25'!F673,0))</f>
        <v>17578</v>
      </c>
    </row>
    <row r="5" spans="1:4" x14ac:dyDescent="0.2">
      <c r="B5" t="s">
        <v>700</v>
      </c>
      <c r="C5" s="179">
        <f>IF('DOE25'!G666+'DOE25'!G671=0,0,ROUND('DOE25'!G673,0))</f>
        <v>14649</v>
      </c>
    </row>
    <row r="6" spans="1:4" x14ac:dyDescent="0.2">
      <c r="B6" t="s">
        <v>62</v>
      </c>
      <c r="C6" s="179">
        <f>IF('DOE25'!H666+'DOE25'!H671=0,0,ROUND('DOE25'!H673,0))</f>
        <v>17216</v>
      </c>
    </row>
    <row r="7" spans="1:4" x14ac:dyDescent="0.2">
      <c r="B7" t="s">
        <v>701</v>
      </c>
      <c r="C7" s="179">
        <f>IF('DOE25'!I666+'DOE25'!I671=0,0,ROUND('DOE25'!I673,0))</f>
        <v>16532</v>
      </c>
    </row>
    <row r="9" spans="1:4" x14ac:dyDescent="0.2">
      <c r="A9" s="187" t="s">
        <v>94</v>
      </c>
      <c r="B9" s="188" t="s">
        <v>1588</v>
      </c>
      <c r="C9" s="181" t="s">
        <v>720</v>
      </c>
      <c r="D9" s="181" t="s">
        <v>721</v>
      </c>
    </row>
    <row r="10" spans="1:4" x14ac:dyDescent="0.2">
      <c r="A10">
        <v>1100</v>
      </c>
      <c r="B10" t="s">
        <v>702</v>
      </c>
      <c r="C10" s="179">
        <f>ROUND('DOE25'!L198+'DOE25'!L216+'DOE25'!L234+'DOE25'!L277+'DOE25'!L296+'DOE25'!L315,0)</f>
        <v>9332662</v>
      </c>
      <c r="D10" s="182">
        <f>ROUND((C10/$C$28)*100,1)</f>
        <v>41.9</v>
      </c>
    </row>
    <row r="11" spans="1:4" x14ac:dyDescent="0.2">
      <c r="A11">
        <v>1200</v>
      </c>
      <c r="B11" t="s">
        <v>703</v>
      </c>
      <c r="C11" s="179">
        <f>ROUND('DOE25'!L199+'DOE25'!L217+'DOE25'!L235+'DOE25'!L278+'DOE25'!L297+'DOE25'!L316,0)</f>
        <v>3602069</v>
      </c>
      <c r="D11" s="182">
        <f>ROUND((C11/$C$28)*100,1)</f>
        <v>16.2</v>
      </c>
    </row>
    <row r="12" spans="1:4" x14ac:dyDescent="0.2">
      <c r="A12">
        <v>1300</v>
      </c>
      <c r="B12" t="s">
        <v>704</v>
      </c>
      <c r="C12" s="179">
        <f>ROUND('DOE25'!L200+'DOE25'!L218+'DOE25'!L236+'DOE25'!L279+'DOE25'!L298+'DOE25'!L317,0)</f>
        <v>170854</v>
      </c>
      <c r="D12" s="182">
        <f>ROUND((C12/$C$28)*100,1)</f>
        <v>0.8</v>
      </c>
    </row>
    <row r="13" spans="1:4" x14ac:dyDescent="0.2">
      <c r="A13">
        <v>1400</v>
      </c>
      <c r="B13" t="s">
        <v>705</v>
      </c>
      <c r="C13" s="179">
        <f>ROUND('DOE25'!L201+'DOE25'!L219+'DOE25'!L237+'DOE25'!L280+'DOE25'!L299+'DOE25'!L318,0)</f>
        <v>462984</v>
      </c>
      <c r="D13" s="182">
        <f>ROUND((C13/$C$28)*100,1)</f>
        <v>2.1</v>
      </c>
    </row>
    <row r="14" spans="1:4" x14ac:dyDescent="0.2">
      <c r="D14" s="182"/>
    </row>
    <row r="15" spans="1:4" x14ac:dyDescent="0.2">
      <c r="A15">
        <v>2100</v>
      </c>
      <c r="B15" t="s">
        <v>706</v>
      </c>
      <c r="C15" s="179">
        <f>ROUND('DOE25'!L203+'DOE25'!L221+'DOE25'!L239+'DOE25'!L282+'DOE25'!L301+'DOE25'!L320,0)</f>
        <v>2383327</v>
      </c>
      <c r="D15" s="182">
        <f t="shared" ref="D15:D27" si="0">ROUND((C15/$C$28)*100,1)</f>
        <v>10.7</v>
      </c>
    </row>
    <row r="16" spans="1:4" x14ac:dyDescent="0.2">
      <c r="A16">
        <v>2200</v>
      </c>
      <c r="B16" t="s">
        <v>707</v>
      </c>
      <c r="C16" s="179">
        <f>ROUND('DOE25'!L204+'DOE25'!L222+'DOE25'!L240+'DOE25'!L283+'DOE25'!L302+'DOE25'!L321,0)</f>
        <v>1253801</v>
      </c>
      <c r="D16" s="182">
        <f t="shared" si="0"/>
        <v>5.6</v>
      </c>
    </row>
    <row r="17" spans="1:4" x14ac:dyDescent="0.2">
      <c r="A17" s="183" t="s">
        <v>723</v>
      </c>
      <c r="B17" t="s">
        <v>738</v>
      </c>
      <c r="C17" s="179">
        <f>ROUND('DOE25'!L205+'DOE25'!L210+'DOE25'!L223+'DOE25'!L228+'DOE25'!L241+'DOE25'!L246+'DOE25'!L284+'DOE25'!L289+'DOE25'!L303+'DOE25'!L308+'DOE25'!L322+'DOE25'!L327,0)</f>
        <v>393085</v>
      </c>
      <c r="D17" s="182">
        <f t="shared" si="0"/>
        <v>1.8</v>
      </c>
    </row>
    <row r="18" spans="1:4" x14ac:dyDescent="0.2">
      <c r="A18">
        <v>2400</v>
      </c>
      <c r="B18" t="s">
        <v>711</v>
      </c>
      <c r="C18" s="179">
        <f>ROUND('DOE25'!L206+'DOE25'!L224+'DOE25'!L242+'DOE25'!L285+'DOE25'!L304+'DOE25'!L323,0)</f>
        <v>1269165</v>
      </c>
      <c r="D18" s="182">
        <f t="shared" si="0"/>
        <v>5.7</v>
      </c>
    </row>
    <row r="19" spans="1:4" x14ac:dyDescent="0.2">
      <c r="A19">
        <v>2500</v>
      </c>
      <c r="B19" t="s">
        <v>708</v>
      </c>
      <c r="C19" s="179">
        <f>ROUND('DOE25'!L207+'DOE25'!L225+'DOE25'!L243+'DOE25'!L286+'DOE25'!L305+'DOE25'!L324,0)</f>
        <v>331172</v>
      </c>
      <c r="D19" s="182">
        <f t="shared" si="0"/>
        <v>1.5</v>
      </c>
    </row>
    <row r="20" spans="1:4" x14ac:dyDescent="0.2">
      <c r="A20">
        <v>2600</v>
      </c>
      <c r="B20" t="s">
        <v>709</v>
      </c>
      <c r="C20" s="179">
        <f>ROUND('DOE25'!L208+'DOE25'!L226+'DOE25'!L244+'DOE25'!L287+'DOE25'!L306+'DOE25'!L325,0)</f>
        <v>1753957</v>
      </c>
      <c r="D20" s="182">
        <f t="shared" si="0"/>
        <v>7.9</v>
      </c>
    </row>
    <row r="21" spans="1:4" x14ac:dyDescent="0.2">
      <c r="A21">
        <v>2700</v>
      </c>
      <c r="B21" t="s">
        <v>710</v>
      </c>
      <c r="C21" s="179">
        <f>ROUND('DOE25'!L209+'DOE25'!L227+'DOE25'!L245+'DOE25'!L288+'DOE25'!L307+'DOE25'!L326,0)</f>
        <v>891621</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2167</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404614.38</v>
      </c>
      <c r="D27" s="182">
        <f t="shared" si="0"/>
        <v>1.8</v>
      </c>
    </row>
    <row r="28" spans="1:4" x14ac:dyDescent="0.2">
      <c r="B28" s="187" t="s">
        <v>719</v>
      </c>
      <c r="C28" s="180">
        <f>SUM(C10:C27)</f>
        <v>22251478.379999999</v>
      </c>
      <c r="D28" s="184">
        <f>ROUND(SUM(D10:D27),0)</f>
        <v>100</v>
      </c>
    </row>
    <row r="29" spans="1:4" x14ac:dyDescent="0.2">
      <c r="A29">
        <v>4000</v>
      </c>
      <c r="B29" t="s">
        <v>724</v>
      </c>
      <c r="C29" s="179">
        <f>ROUND('DOE25'!L256+'DOE25'!L337+'DOE25'!L375+'DOE25'!L376+'DOE25'!L377+'DOE25'!L378+'DOE25'!L379+'DOE25'!L380+'DOE25'!L381,0)</f>
        <v>345281</v>
      </c>
    </row>
    <row r="30" spans="1:4" x14ac:dyDescent="0.2">
      <c r="B30" s="187" t="s">
        <v>725</v>
      </c>
      <c r="C30" s="180">
        <f>SUM(C28:C29)</f>
        <v>22596759.379999999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14507154</v>
      </c>
      <c r="D35" s="182">
        <f t="shared" ref="D35:D40" si="1">ROUND((C35/$C$41)*100,1)</f>
        <v>63.1</v>
      </c>
    </row>
    <row r="36" spans="1:4" x14ac:dyDescent="0.2">
      <c r="B36" s="185" t="s">
        <v>739</v>
      </c>
      <c r="C36" s="179">
        <f>SUM('DOE25'!F112:J112)-SUM('DOE25'!G97:G110)+('DOE25'!F175+'DOE25'!F176+'DOE25'!I175+'DOE25'!I176)-C35</f>
        <v>122704.22000000067</v>
      </c>
      <c r="D36" s="182">
        <f t="shared" si="1"/>
        <v>0.5</v>
      </c>
    </row>
    <row r="37" spans="1:4" x14ac:dyDescent="0.2">
      <c r="A37" s="183" t="s">
        <v>835</v>
      </c>
      <c r="B37" s="185" t="s">
        <v>728</v>
      </c>
      <c r="C37" s="179">
        <f>ROUND('DOE25'!F117+'DOE25'!F118,0)</f>
        <v>7146693</v>
      </c>
      <c r="D37" s="182">
        <f t="shared" si="1"/>
        <v>31.1</v>
      </c>
    </row>
    <row r="38" spans="1:4" x14ac:dyDescent="0.2">
      <c r="A38" s="183" t="s">
        <v>734</v>
      </c>
      <c r="B38" s="185" t="s">
        <v>729</v>
      </c>
      <c r="C38" s="179">
        <f>ROUND(SUM('DOE25'!F140:J140)-SUM('DOE25'!F117:F119),0)</f>
        <v>77073</v>
      </c>
      <c r="D38" s="182">
        <f t="shared" si="1"/>
        <v>0.3</v>
      </c>
    </row>
    <row r="39" spans="1:4" x14ac:dyDescent="0.2">
      <c r="A39">
        <v>4000</v>
      </c>
      <c r="B39" s="185" t="s">
        <v>730</v>
      </c>
      <c r="C39" s="179">
        <f>ROUND('DOE25'!F170+'DOE25'!G170+'DOE25'!H170+'DOE25'!I170,0)</f>
        <v>1144375</v>
      </c>
      <c r="D39" s="182">
        <f t="shared" si="1"/>
        <v>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22997999.219999999</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Shaker Regional School Dsitrict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2020-09-10T13:09:29Z</cp:lastPrinted>
  <dcterms:created xsi:type="dcterms:W3CDTF">1997-12-04T19:04:30Z</dcterms:created>
  <dcterms:modified xsi:type="dcterms:W3CDTF">2020-12-14T13:29:16Z</dcterms:modified>
</cp:coreProperties>
</file>