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G158" i="1" l="1"/>
  <c r="G24" i="1"/>
  <c r="G14" i="1"/>
  <c r="G48" i="1"/>
  <c r="F6" i="13" l="1"/>
  <c r="F5" i="13"/>
  <c r="C12" i="12" l="1"/>
  <c r="C10" i="12"/>
  <c r="C21" i="12"/>
  <c r="C20" i="12"/>
  <c r="C19" i="12"/>
  <c r="B21" i="12"/>
  <c r="B19" i="12"/>
  <c r="C11" i="12"/>
  <c r="C39" i="12"/>
  <c r="B39" i="12"/>
  <c r="C29" i="12"/>
  <c r="C28" i="12"/>
  <c r="C30" i="12"/>
  <c r="B12" i="12"/>
  <c r="B11" i="12"/>
  <c r="B10" i="12"/>
  <c r="F500" i="1" l="1"/>
  <c r="F499" i="1"/>
  <c r="D6" i="14" l="1"/>
  <c r="D5" i="14"/>
  <c r="E6" i="14"/>
  <c r="E5" i="14"/>
  <c r="H242" i="1" l="1"/>
  <c r="H224" i="1"/>
  <c r="H206" i="1"/>
  <c r="F612" i="1" l="1"/>
  <c r="I613" i="1"/>
  <c r="I612" i="1"/>
  <c r="G614" i="1"/>
  <c r="G613" i="1"/>
  <c r="G612" i="1"/>
  <c r="F614" i="1"/>
  <c r="F613" i="1"/>
  <c r="F583" i="1"/>
  <c r="J596" i="1"/>
  <c r="I523" i="1" l="1"/>
  <c r="H529" i="1" l="1"/>
  <c r="H528" i="1"/>
  <c r="H523" i="1" l="1"/>
  <c r="G524" i="1"/>
  <c r="G523" i="1"/>
  <c r="F523" i="1"/>
  <c r="H155" i="1" l="1"/>
  <c r="H154" i="1"/>
  <c r="H14" i="1"/>
  <c r="K315" i="1"/>
  <c r="H315" i="1"/>
  <c r="G315" i="1"/>
  <c r="F315" i="1"/>
  <c r="F296" i="1"/>
  <c r="K296" i="1"/>
  <c r="I296" i="1"/>
  <c r="H296" i="1"/>
  <c r="G296" i="1"/>
  <c r="F277" i="1"/>
  <c r="K277" i="1"/>
  <c r="I277" i="1"/>
  <c r="H277" i="1"/>
  <c r="G277" i="1"/>
  <c r="F198" i="1"/>
  <c r="F216" i="1"/>
  <c r="F234" i="1"/>
  <c r="H234" i="1"/>
  <c r="G234" i="1"/>
  <c r="H216" i="1"/>
  <c r="G216" i="1"/>
  <c r="H198" i="1" l="1"/>
  <c r="G198" i="1"/>
  <c r="H380" i="1"/>
  <c r="J380" i="1"/>
  <c r="G380" i="1"/>
  <c r="H159" i="1" l="1"/>
  <c r="H156" i="1"/>
  <c r="F57" i="1" l="1"/>
  <c r="F123" i="1"/>
  <c r="F110" i="1"/>
  <c r="F23" i="1" l="1"/>
  <c r="I419" i="1" l="1"/>
  <c r="H419" i="1"/>
  <c r="G419" i="1"/>
  <c r="F368" i="1"/>
  <c r="I359" i="1"/>
  <c r="H359" i="1"/>
  <c r="G9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H663" i="1" s="1"/>
  <c r="L327" i="1"/>
  <c r="L334" i="1"/>
  <c r="L335" i="1"/>
  <c r="L336" i="1"/>
  <c r="L261" i="1"/>
  <c r="C32" i="10"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F121" i="1"/>
  <c r="F136" i="1"/>
  <c r="G121" i="1"/>
  <c r="G136" i="1"/>
  <c r="H121" i="1"/>
  <c r="H140" i="1" s="1"/>
  <c r="H136" i="1"/>
  <c r="I121" i="1"/>
  <c r="I136" i="1"/>
  <c r="J121" i="1"/>
  <c r="J140" i="1" s="1"/>
  <c r="J136" i="1"/>
  <c r="F147" i="1"/>
  <c r="F170" i="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E123"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F402" i="1"/>
  <c r="G402" i="1"/>
  <c r="H402" i="1"/>
  <c r="I402" i="1"/>
  <c r="F408" i="1"/>
  <c r="G408" i="1"/>
  <c r="H408" i="1"/>
  <c r="H409" i="1" s="1"/>
  <c r="H645" i="1" s="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I170" i="1"/>
  <c r="A40" i="12" l="1"/>
  <c r="J652" i="1"/>
  <c r="J572" i="1"/>
  <c r="G553" i="1"/>
  <c r="H477" i="1"/>
  <c r="H625" i="1" s="1"/>
  <c r="J625" i="1" s="1"/>
  <c r="E120" i="2"/>
  <c r="E119" i="2"/>
  <c r="K339" i="1"/>
  <c r="K353" i="1" s="1"/>
  <c r="E110" i="2"/>
  <c r="D15" i="13"/>
  <c r="C15" i="13" s="1"/>
  <c r="E13" i="13"/>
  <c r="C13" i="13" s="1"/>
  <c r="C119" i="2"/>
  <c r="D6" i="13"/>
  <c r="C6" i="13" s="1"/>
  <c r="C110" i="2"/>
  <c r="J258" i="1"/>
  <c r="J272" i="1" s="1"/>
  <c r="F258" i="1"/>
  <c r="F272" i="1" s="1"/>
  <c r="C121" i="2"/>
  <c r="C11" i="10"/>
  <c r="C20" i="10"/>
  <c r="H193" i="1"/>
  <c r="C91" i="2"/>
  <c r="H112" i="1"/>
  <c r="D50" i="2"/>
  <c r="H462" i="1"/>
  <c r="H642" i="1" s="1"/>
  <c r="I409" i="1"/>
  <c r="L402" i="1"/>
  <c r="C139" i="2" s="1"/>
  <c r="F409" i="1"/>
  <c r="H644" i="1" s="1"/>
  <c r="G409" i="1"/>
  <c r="H646" i="1" s="1"/>
  <c r="J646" i="1" s="1"/>
  <c r="E112" i="2"/>
  <c r="C131" i="2"/>
  <c r="C125" i="2"/>
  <c r="J656" i="1"/>
  <c r="J112" i="1"/>
  <c r="G477" i="1"/>
  <c r="B33" i="16" s="1"/>
  <c r="G662" i="1"/>
  <c r="E114" i="2"/>
  <c r="E124" i="2"/>
  <c r="E111" i="2"/>
  <c r="E125" i="2"/>
  <c r="E121" i="2"/>
  <c r="C13" i="10"/>
  <c r="A31" i="12"/>
  <c r="G339" i="1"/>
  <c r="G353" i="1" s="1"/>
  <c r="L257" i="1"/>
  <c r="C12" i="10"/>
  <c r="C120" i="2"/>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L615" i="1"/>
  <c r="K599" i="1"/>
  <c r="G648" i="1" s="1"/>
  <c r="K572" i="1"/>
  <c r="L571" i="1"/>
  <c r="H572" i="1"/>
  <c r="L566" i="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0" i="1"/>
  <c r="D103" i="2"/>
  <c r="I140" i="1"/>
  <c r="A22" i="12"/>
  <c r="J653" i="1"/>
  <c r="G572" i="1"/>
  <c r="I435" i="1"/>
  <c r="G435" i="1"/>
  <c r="I664" i="1"/>
  <c r="L572" i="1" l="1"/>
  <c r="H661" i="1"/>
  <c r="H665" i="1" s="1"/>
  <c r="H668" i="1" s="1"/>
  <c r="H649" i="1"/>
  <c r="J649" i="1" s="1"/>
  <c r="C81" i="2"/>
  <c r="F194" i="1"/>
  <c r="G628" i="1" s="1"/>
  <c r="J628" i="1" s="1"/>
  <c r="F51" i="2"/>
  <c r="E51" i="2"/>
  <c r="D51" i="2"/>
  <c r="C141" i="2"/>
  <c r="C144" i="2" s="1"/>
  <c r="E115" i="2"/>
  <c r="E128" i="2"/>
  <c r="G36" i="14"/>
  <c r="H36" i="14" s="1"/>
  <c r="I36" i="14" s="1"/>
  <c r="G24" i="14"/>
  <c r="H24" i="14" s="1"/>
  <c r="I24" i="14" s="1"/>
  <c r="F661" i="1"/>
  <c r="F665" i="1" s="1"/>
  <c r="F668"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E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<sst xmlns="http://schemas.openxmlformats.org/spreadsheetml/2006/main" count="5550" uniqueCount="1647">
  <si>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</si>
  <si>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</si>
  <si>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</si>
  <si>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</si>
  <si>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</si>
  <si>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</si>
  <si>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</si>
  <si>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</si>
  <si>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</si>
  <si>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</si>
  <si>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</si>
  <si>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</si>
  <si>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</si>
  <si>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</si>
  <si>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</si>
  <si>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</si>
  <si>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</si>
  <si>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</si>
  <si>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</si>
  <si>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</si>
  <si>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</si>
  <si>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</si>
  <si>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</si>
  <si>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</si>
  <si>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</si>
  <si>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</si>
  <si>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</si>
  <si>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</si>
  <si>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</si>
  <si>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</si>
  <si>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</si>
  <si>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</si>
  <si>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</si>
  <si>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</si>
  <si>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</si>
  <si>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</si>
  <si>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</si>
  <si>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</si>
  <si>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</si>
  <si>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</si>
  <si>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</si>
  <si>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</si>
  <si>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</si>
  <si>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</si>
  <si>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</si>
  <si>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</si>
  <si>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</si>
  <si>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</si>
  <si>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</si>
  <si>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</si>
  <si>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</si>
  <si>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</si>
  <si>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</si>
  <si>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</si>
  <si>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</si>
  <si>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</si>
  <si>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</si>
  <si>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</si>
  <si>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</si>
  <si>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</si>
  <si>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</si>
  <si>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</si>
  <si>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</si>
  <si>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</si>
  <si>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</si>
  <si>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</si>
  <si>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</si>
  <si>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</si>
  <si>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</si>
  <si>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</si>
  <si>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</si>
  <si>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</si>
  <si>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</si>
  <si>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</si>
  <si>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</si>
  <si>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</si>
  <si>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</si>
  <si>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</si>
  <si>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</si>
  <si>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</si>
  <si>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</si>
  <si>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</si>
  <si>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</si>
  <si>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</si>
  <si>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</si>
  <si>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</si>
  <si>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</si>
  <si>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</si>
  <si>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</si>
  <si>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</si>
  <si>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</si>
  <si>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</si>
  <si>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</si>
  <si>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</si>
  <si>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</si>
  <si>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</si>
  <si>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</si>
  <si>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</si>
  <si>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</si>
  <si>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</si>
  <si>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</si>
  <si>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</si>
  <si>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</si>
  <si>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</si>
  <si>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</si>
  <si>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</si>
  <si>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</si>
  <si>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</si>
  <si>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</si>
  <si>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</si>
  <si>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</si>
  <si>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</si>
  <si>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</si>
  <si>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</si>
  <si>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</si>
  <si>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</si>
  <si>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</si>
  <si>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</si>
  <si>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</si>
  <si>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</si>
  <si>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</si>
  <si>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</si>
  <si>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</si>
  <si>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</si>
  <si>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</si>
  <si>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</si>
  <si>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</si>
  <si>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</si>
  <si>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</si>
  <si>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</si>
  <si>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</si>
  <si>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</si>
  <si>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</si>
  <si>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</si>
  <si>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</si>
  <si>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</si>
  <si>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</si>
  <si>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</si>
  <si>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</si>
  <si>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</si>
  <si>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</si>
  <si>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</si>
  <si>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</si>
  <si>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</si>
  <si>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</si>
  <si>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</si>
  <si>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</si>
  <si>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</si>
  <si>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</si>
  <si>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</si>
  <si>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</si>
  <si>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</si>
  <si>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</si>
  <si>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</si>
  <si>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</si>
  <si>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</si>
  <si>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</si>
  <si>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</si>
  <si>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</si>
  <si>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</si>
  <si>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</si>
  <si>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</si>
  <si>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</si>
  <si>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</si>
  <si>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</si>
  <si>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</si>
  <si>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</si>
  <si>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</si>
  <si>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</si>
  <si>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</si>
  <si>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</si>
  <si>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</si>
  <si>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</si>
  <si>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</si>
  <si>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</si>
  <si>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</si>
  <si>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</si>
  <si>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</si>
  <si>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</si>
  <si>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</si>
  <si>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</si>
  <si>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</si>
  <si>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</si>
  <si>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</si>
  <si>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</si>
  <si>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</si>
  <si>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</si>
  <si>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</si>
  <si>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</si>
  <si>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</si>
  <si>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</si>
  <si>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</si>
  <si>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</si>
  <si>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</si>
  <si>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</si>
  <si>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</si>
  <si>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</si>
  <si>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</si>
  <si>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</si>
  <si>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</si>
  <si>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</si>
  <si>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</si>
  <si>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</si>
  <si>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</si>
  <si>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</si>
  <si>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</si>
  <si>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</si>
  <si>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</si>
  <si>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</si>
  <si>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</si>
  <si>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</si>
  <si>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</si>
  <si>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</si>
  <si>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</si>
  <si>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</si>
  <si>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</si>
  <si>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</si>
  <si>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</si>
  <si>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</si>
  <si>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</si>
  <si>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</si>
  <si>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</si>
  <si>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</si>
  <si>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</si>
  <si>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</si>
  <si>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</si>
  <si>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</si>
  <si>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</si>
  <si>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</si>
  <si>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</si>
  <si>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</si>
  <si>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</si>
  <si>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</si>
  <si>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</si>
  <si>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</si>
  <si>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</si>
  <si>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</si>
  <si>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</si>
  <si>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</si>
  <si>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</si>
  <si>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</si>
  <si>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</si>
  <si>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</si>
  <si>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</si>
  <si>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</si>
  <si>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</si>
  <si>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</si>
  <si>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</si>
  <si>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</si>
  <si>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</si>
  <si>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</si>
  <si>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</si>
  <si>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</si>
  <si>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</si>
  <si>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</si>
  <si>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</si>
  <si>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</si>
  <si>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</si>
  <si>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</si>
  <si>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</si>
  <si>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</si>
  <si>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</si>
  <si>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</si>
  <si>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</si>
  <si>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</si>
  <si>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</si>
  <si>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</si>
  <si>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</si>
  <si>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</si>
  <si>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</si>
  <si>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</si>
  <si>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</si>
  <si>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</si>
  <si>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</si>
  <si>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</si>
  <si>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</si>
  <si>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</si>
  <si>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</si>
  <si>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</si>
  <si>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</si>
  <si>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</si>
  <si>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</si>
  <si>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</si>
  <si>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</si>
  <si>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</si>
  <si>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</si>
  <si>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</si>
  <si>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</si>
  <si>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</si>
  <si>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</si>
  <si>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</si>
  <si>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</si>
  <si>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</si>
  <si>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</si>
  <si>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</si>
  <si>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</si>
  <si>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</si>
  <si>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</si>
  <si>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</si>
  <si>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</si>
  <si>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</si>
  <si>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</si>
  <si>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</si>
  <si>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</si>
  <si>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</si>
  <si>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</si>
  <si>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</si>
  <si>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</si>
  <si>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</si>
  <si>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</si>
  <si>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</si>
  <si>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</si>
  <si>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</si>
  <si>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</si>
  <si>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</si>
  <si>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</si>
  <si>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</si>
  <si>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</si>
  <si>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</si>
  <si>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</si>
  <si>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</si>
  <si>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</si>
  <si>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</si>
  <si>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</si>
  <si>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</si>
  <si>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</si>
  <si>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</si>
  <si>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</si>
  <si>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</si>
  <si>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</si>
  <si>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</si>
  <si>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</si>
  <si>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</si>
  <si>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</si>
  <si>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</si>
  <si>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</si>
  <si>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</si>
  <si>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</si>
  <si>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</si>
  <si>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</si>
  <si>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</si>
  <si>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</si>
  <si>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</si>
  <si>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</si>
  <si>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</si>
  <si>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</si>
  <si>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</si>
  <si>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</si>
  <si>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</si>
  <si>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</si>
  <si>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</si>
  <si>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</si>
  <si>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</si>
  <si>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</si>
  <si>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</si>
  <si>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</si>
  <si>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</si>
  <si>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</si>
  <si>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</si>
  <si>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</si>
  <si>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</si>
  <si>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</si>
  <si>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</si>
  <si>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</si>
  <si>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</si>
  <si>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</si>
  <si>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</si>
  <si>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</si>
  <si>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</si>
  <si>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</si>
  <si>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</si>
  <si>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</si>
  <si>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</si>
  <si>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</si>
  <si>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</si>
  <si>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</si>
  <si>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</si>
  <si>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</si>
  <si>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</si>
  <si>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</si>
  <si>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</si>
  <si>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</si>
  <si>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</si>
  <si>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</si>
  <si>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</si>
  <si>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</si>
  <si>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</si>
  <si>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</si>
  <si>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</si>
  <si>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</si>
  <si>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</si>
  <si>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</si>
  <si>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</si>
  <si>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</si>
  <si>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</si>
  <si>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</si>
  <si>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</si>
  <si>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</si>
  <si>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</si>
  <si>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</si>
  <si>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</si>
  <si>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</si>
  <si>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</si>
  <si>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</si>
  <si>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</si>
  <si>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</si>
  <si>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</si>
  <si>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</si>
  <si>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</si>
  <si>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</si>
  <si>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</si>
  <si>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</si>
  <si>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</si>
  <si>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</si>
  <si>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</si>
  <si>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</si>
  <si>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</si>
  <si>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</si>
  <si>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</si>
  <si>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</si>
  <si>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</si>
  <si>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</si>
  <si>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</si>
  <si>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</si>
  <si>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</si>
  <si>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</si>
  <si>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</si>
  <si>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</si>
  <si>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</si>
  <si>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</si>
  <si>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</si>
  <si>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</si>
  <si>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</si>
  <si>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</si>
  <si>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</si>
  <si>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</si>
  <si>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</si>
  <si>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</si>
  <si>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</si>
  <si>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</si>
  <si>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</si>
  <si>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</si>
  <si>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</si>
  <si>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</si>
  <si>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</si>
  <si>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</si>
  <si>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</si>
  <si>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</si>
  <si>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</si>
  <si>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</si>
  <si>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</si>
  <si>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</si>
  <si>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</si>
  <si>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</si>
  <si>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</si>
  <si>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</si>
  <si>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</si>
  <si>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</si>
  <si>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</si>
  <si>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</si>
  <si>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</si>
  <si>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</si>
  <si>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</si>
  <si>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</si>
  <si>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</si>
  <si>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</si>
  <si>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</si>
  <si>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</si>
  <si>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</si>
  <si>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</si>
  <si>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</si>
  <si>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</si>
  <si>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</si>
  <si>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</si>
  <si>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</si>
  <si>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</si>
  <si>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</si>
  <si>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</si>
  <si>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</si>
  <si>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</si>
  <si>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</si>
  <si>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</si>
  <si>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</si>
  <si>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</si>
  <si>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</si>
  <si>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</si>
  <si>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</si>
  <si>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</si>
  <si>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</si>
  <si>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</si>
  <si>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</si>
  <si>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</si>
  <si>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</si>
  <si>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</si>
  <si>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</si>
  <si>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</si>
  <si>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</si>
  <si>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</si>
  <si>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</si>
  <si>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</si>
  <si>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</si>
  <si>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</si>
  <si>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</si>
  <si>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</si>
  <si>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</si>
  <si>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</si>
  <si>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</si>
  <si>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</si>
  <si>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</si>
  <si>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</si>
  <si>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</si>
  <si>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</si>
  <si>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</si>
  <si>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</si>
  <si>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</si>
  <si>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</si>
  <si>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</si>
  <si>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</si>
  <si>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</si>
  <si>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</si>
  <si>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</si>
  <si>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</si>
  <si>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</si>
  <si>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</si>
  <si>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</si>
  <si>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</si>
  <si>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</si>
  <si>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</si>
  <si>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</si>
  <si>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</si>
  <si>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</si>
  <si>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</si>
  <si>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</si>
  <si>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</si>
  <si>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</si>
  <si>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</si>
  <si>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</si>
  <si>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</si>
  <si>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</si>
  <si>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</si>
  <si>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</si>
  <si>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</si>
  <si>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</si>
  <si>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</si>
  <si>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</si>
  <si>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</si>
  <si>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</si>
  <si>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</si>
  <si>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</si>
  <si>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</si>
  <si>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</si>
  <si>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</si>
  <si>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</si>
  <si>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</si>
  <si>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</si>
  <si>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</si>
  <si>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</si>
  <si>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</si>
  <si>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</si>
  <si>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</si>
  <si>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</si>
  <si>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</si>
  <si>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</si>
  <si>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</si>
  <si>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</si>
  <si>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</si>
  <si>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</si>
  <si>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</si>
  <si>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</si>
  <si>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</si>
  <si>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</si>
  <si>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</si>
  <si>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</si>
  <si>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</si>
  <si>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</si>
  <si>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</si>
  <si>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</si>
  <si>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</si>
  <si>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</si>
  <si>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</si>
  <si>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</si>
  <si>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</si>
  <si>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</si>
  <si>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</si>
  <si>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</si>
  <si>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</si>
  <si>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</si>
  <si>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</si>
  <si>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</si>
  <si>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</si>
  <si>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</si>
  <si>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</si>
  <si>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</si>
  <si>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</si>
  <si>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</si>
  <si>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</si>
  <si>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</si>
  <si>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</si>
  <si>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</si>
  <si>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</si>
  <si>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</si>
  <si>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</si>
  <si>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</si>
  <si>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</si>
  <si>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</si>
  <si>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</si>
  <si>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</si>
  <si>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</si>
  <si>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</si>
  <si>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</si>
  <si>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</si>
  <si>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</si>
  <si>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</si>
  <si>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</si>
  <si>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</si>
  <si>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</si>
  <si>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</si>
  <si>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</si>
  <si>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</si>
  <si>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</si>
  <si>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</si>
  <si>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</si>
  <si>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</si>
  <si>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</si>
  <si>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</si>
  <si>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</si>
  <si>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</si>
  <si>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</si>
  <si>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</si>
  <si>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</si>
  <si>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</si>
  <si>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</si>
  <si>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</si>
  <si>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</si>
  <si>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</si>
  <si>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</si>
  <si>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</si>
  <si>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</si>
  <si>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</si>
  <si>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</si>
  <si>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</si>
  <si>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</si>
  <si>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</si>
  <si>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</si>
  <si>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</si>
  <si>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</si>
  <si>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</si>
  <si>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</si>
  <si>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</si>
  <si>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</si>
  <si>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</si>
  <si>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</si>
  <si>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</si>
  <si>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</si>
  <si>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</si>
  <si>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</si>
  <si>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</si>
  <si>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</si>
  <si>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</si>
  <si>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</si>
  <si>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</si>
  <si>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</si>
  <si>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</si>
  <si>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</si>
  <si>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</si>
  <si>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</si>
  <si>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</si>
  <si>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</si>
  <si>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</si>
  <si>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</si>
  <si>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</si>
  <si>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</si>
  <si>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</si>
  <si>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</si>
  <si>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</si>
  <si>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</si>
  <si>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</si>
  <si>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</si>
  <si>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</si>
  <si>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</si>
  <si>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</si>
  <si>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</si>
  <si>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</si>
  <si>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</si>
  <si>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</si>
  <si>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</si>
  <si>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</si>
  <si>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</si>
  <si>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</si>
  <si>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</si>
  <si>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</si>
  <si>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</si>
  <si>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</si>
  <si>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</si>
  <si>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</si>
  <si>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</si>
  <si>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</si>
  <si>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</si>
  <si>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</si>
  <si>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</si>
  <si>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</si>
  <si>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</si>
  <si>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</si>
  <si>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</si>
  <si>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</si>
  <si>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</si>
  <si>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</si>
  <si>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</si>
  <si>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</si>
  <si>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</si>
  <si>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</si>
  <si>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</si>
  <si>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</si>
  <si>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</si>
  <si>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</si>
  <si>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</si>
  <si>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</si>
  <si>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</si>
  <si>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</si>
  <si>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</si>
  <si>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</si>
  <si>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</si>
  <si>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</si>
  <si>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</si>
  <si>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</si>
  <si>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</si>
  <si>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</si>
  <si>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</si>
  <si>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</si>
  <si>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</si>
  <si>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</si>
  <si>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</si>
  <si>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</si>
  <si>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</si>
  <si>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</si>
  <si>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</si>
  <si>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</si>
  <si>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</si>
  <si>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</si>
  <si>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</si>
  <si>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</si>
  <si>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</si>
  <si>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</si>
  <si>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</si>
  <si>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</si>
  <si>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</si>
  <si>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</si>
  <si>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</si>
  <si>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</si>
  <si>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</si>
  <si>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</si>
  <si>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</si>
  <si>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</si>
  <si>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</si>
  <si>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</si>
  <si>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</si>
  <si>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</si>
  <si>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</si>
  <si>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</si>
  <si>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</si>
  <si>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</si>
  <si>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</si>
  <si>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</si>
  <si>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</si>
  <si>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</si>
  <si>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</si>
  <si>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</si>
  <si>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</si>
  <si>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</si>
  <si>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</si>
  <si>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</si>
  <si>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</si>
  <si>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</si>
  <si>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</si>
  <si>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</si>
  <si>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</si>
  <si>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</si>
  <si>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</si>
  <si>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</si>
  <si>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</si>
  <si>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</si>
  <si>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</si>
  <si>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</si>
  <si>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</si>
  <si>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</si>
  <si>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</si>
  <si>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</si>
  <si>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</si>
  <si>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</si>
  <si>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</si>
  <si>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</si>
  <si>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</si>
  <si>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</si>
  <si>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</si>
  <si>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</si>
  <si>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</si>
  <si>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</si>
  <si>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</si>
  <si>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</si>
  <si>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</si>
  <si>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</si>
  <si>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</si>
  <si>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</si>
  <si>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</si>
  <si>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</si>
  <si>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</si>
  <si>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</si>
  <si>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</si>
  <si>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</si>
  <si>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</si>
  <si>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</si>
  <si>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</si>
  <si>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</si>
  <si>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</si>
  <si>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</si>
  <si>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</si>
  <si>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</si>
  <si>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</si>
  <si>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</si>
  <si>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</si>
  <si>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</si>
  <si>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</si>
  <si>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</si>
  <si>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</si>
  <si>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</si>
  <si>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</si>
  <si>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</si>
  <si>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</si>
  <si>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</si>
  <si>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</si>
  <si>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</si>
  <si>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</si>
  <si>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</si>
  <si>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</si>
  <si>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</si>
  <si>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</si>
  <si>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</si>
  <si>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</si>
  <si>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</si>
  <si>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</si>
  <si>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</si>
  <si>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</si>
  <si>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</si>
  <si>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</si>
  <si>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</si>
  <si>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</si>
  <si>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</si>
  <si>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</si>
  <si>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</si>
  <si>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</si>
  <si>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</si>
  <si>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</si>
  <si>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</si>
  <si>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</si>
  <si>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</si>
  <si>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</si>
  <si>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</si>
  <si>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</si>
  <si>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</si>
  <si>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</si>
  <si>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</si>
  <si>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</si>
  <si>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</si>
  <si>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</si>
  <si>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</si>
  <si>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</si>
  <si>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</si>
  <si>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</si>
  <si>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</si>
  <si>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</si>
  <si>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</si>
  <si>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</si>
  <si>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</si>
  <si>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</si>
  <si>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</si>
  <si>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</si>
  <si>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</si>
  <si>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</si>
  <si>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</si>
  <si>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</si>
  <si>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</si>
  <si>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</si>
  <si>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</si>
  <si>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</si>
  <si>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</si>
  <si>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</si>
  <si>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</si>
  <si>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</si>
  <si>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</si>
  <si>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</si>
  <si>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</si>
  <si>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</si>
  <si>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</si>
  <si>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</si>
  <si>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</si>
  <si>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</si>
  <si>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</si>
  <si>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</si>
  <si>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</si>
  <si>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</si>
  <si>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</si>
  <si>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</si>
  <si>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</si>
  <si>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</si>
  <si>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</si>
  <si>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</si>
  <si>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</si>
  <si>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</si>
  <si>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</si>
  <si>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</si>
  <si>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</si>
  <si>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</si>
  <si>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</si>
  <si>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</si>
  <si>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</si>
  <si>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</si>
  <si>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</si>
  <si>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</si>
  <si>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</si>
  <si>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</si>
  <si>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</si>
  <si>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</si>
  <si>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</si>
  <si>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</si>
  <si>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</si>
  <si>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</si>
  <si>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</si>
  <si>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</si>
  <si>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</si>
  <si>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</si>
  <si>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</si>
  <si>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</si>
  <si>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</si>
  <si>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</si>
  <si>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</si>
  <si>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</si>
  <si>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</si>
  <si>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</si>
  <si>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</si>
  <si>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</si>
  <si>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</si>
  <si>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</si>
  <si>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</si>
  <si>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</si>
  <si>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</si>
  <si>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</si>
  <si>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</si>
  <si>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</si>
  <si>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</si>
  <si>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</si>
  <si>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</si>
  <si>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</si>
  <si>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</si>
  <si>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</si>
  <si>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</si>
  <si>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</si>
  <si>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</si>
  <si>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</si>
  <si>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</si>
  <si>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</si>
  <si>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</si>
  <si>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</si>
  <si>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</si>
  <si>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</si>
  <si>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</si>
  <si>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</si>
  <si>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</si>
  <si>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</si>
  <si>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</si>
  <si>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</si>
  <si>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</si>
  <si>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</si>
  <si>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</si>
  <si>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</si>
  <si>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</si>
  <si>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</si>
  <si>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</si>
  <si>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</si>
  <si>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</si>
  <si>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</si>
  <si>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</si>
  <si>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</si>
  <si>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</si>
  <si>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</si>
  <si>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</si>
  <si>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</si>
  <si>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</si>
  <si>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</si>
  <si>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</si>
  <si>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</si>
  <si>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</si>
  <si>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</si>
  <si>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</si>
  <si>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</si>
  <si>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</si>
  <si>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</si>
  <si>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</si>
  <si>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</si>
  <si>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</si>
  <si>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</si>
  <si>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</si>
  <si>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</si>
  <si>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</si>
  <si>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</si>
  <si>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</si>
  <si>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</si>
  <si>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</si>
  <si>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</si>
  <si>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</si>
  <si>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</si>
  <si>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</si>
  <si>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</si>
  <si>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</si>
  <si>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</si>
  <si>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</si>
  <si>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</si>
  <si>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</si>
  <si>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</si>
  <si>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</si>
  <si>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</si>
  <si>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</si>
  <si>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</si>
  <si>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</si>
  <si>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</si>
  <si>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</si>
  <si>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</si>
  <si>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</si>
  <si>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</si>
  <si>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</si>
  <si>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</si>
  <si>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</si>
  <si>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</si>
  <si>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</si>
  <si>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</si>
  <si>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</si>
  <si>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</si>
  <si>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</si>
  <si>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</si>
  <si>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</si>
  <si>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</si>
  <si>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</si>
  <si>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</si>
  <si>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</si>
  <si>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</si>
  <si>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</si>
  <si>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</si>
  <si>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</si>
  <si>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</si>
  <si>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</si>
  <si>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</si>
  <si>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</si>
  <si>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</si>
  <si>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</si>
  <si>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</si>
  <si>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</si>
  <si>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</si>
  <si>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</si>
  <si>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</si>
  <si>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</si>
  <si>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</si>
  <si>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</si>
  <si>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</si>
  <si>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</si>
  <si>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</si>
  <si>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</si>
  <si>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</si>
  <si>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</si>
  <si>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</si>
  <si>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</si>
  <si>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</si>
  <si>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</si>
  <si>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</si>
  <si>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</si>
  <si>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</si>
  <si>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</si>
  <si>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</si>
  <si>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</si>
  <si>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</si>
  <si>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</si>
  <si>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</si>
  <si>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</si>
  <si>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</si>
  <si>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</si>
  <si>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</si>
  <si>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</si>
  <si>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</si>
  <si>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</si>
  <si>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</si>
  <si>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</si>
  <si>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</si>
  <si>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</si>
  <si>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</si>
  <si>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</si>
  <si>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</si>
  <si>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</si>
  <si>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</si>
  <si>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</si>
  <si>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</si>
  <si>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</si>
  <si>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</si>
  <si>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</si>
  <si>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</si>
  <si>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</si>
  <si>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</si>
  <si>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</si>
  <si>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</si>
  <si>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</si>
  <si>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</si>
  <si>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</si>
  <si>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</si>
  <si>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</si>
  <si>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</si>
  <si>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</si>
  <si>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</si>
  <si>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</si>
  <si>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</si>
  <si>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</si>
  <si>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</si>
  <si>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</si>
  <si>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</si>
  <si>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</si>
  <si>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</si>
  <si>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</si>
  <si>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</si>
  <si>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</si>
  <si>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</si>
  <si>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</si>
  <si>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</si>
  <si>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</si>
  <si>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</si>
  <si>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</si>
  <si>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</si>
  <si>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</si>
  <si>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</si>
  <si>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</si>
  <si>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</si>
  <si>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</si>
  <si>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</si>
  <si>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</si>
  <si>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</si>
  <si>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</si>
  <si>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</si>
  <si>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</si>
  <si>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</si>
  <si>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</si>
  <si>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</si>
  <si>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</si>
  <si>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</si>
  <si>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</si>
  <si>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</si>
  <si>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</si>
  <si>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</si>
  <si>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</si>
  <si>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</si>
  <si>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</si>
  <si>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</si>
  <si>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</si>
  <si>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</si>
  <si>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</si>
  <si>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</si>
  <si>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</si>
  <si>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</si>
  <si>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</si>
  <si>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</si>
  <si>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</si>
  <si>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</si>
  <si>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</si>
  <si>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</si>
  <si>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</si>
  <si>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</si>
  <si>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</si>
  <si>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</si>
  <si>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</si>
  <si>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</si>
  <si>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</si>
  <si>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</si>
  <si>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</si>
  <si>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</si>
  <si>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</si>
  <si>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</si>
  <si>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</si>
  <si>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</si>
  <si>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</si>
  <si>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</si>
  <si>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</si>
  <si>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</si>
  <si>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</si>
  <si>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</si>
  <si>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</si>
  <si>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</si>
  <si>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</si>
  <si>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</si>
  <si>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</si>
  <si>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</si>
  <si>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</si>
  <si>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</si>
  <si>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</si>
  <si>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</si>
  <si>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</si>
  <si>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</si>
  <si>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</si>
  <si>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</si>
  <si>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</si>
  <si>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</si>
  <si>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</si>
  <si>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</si>
  <si>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</si>
  <si>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</si>
  <si>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</si>
  <si>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</si>
  <si>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</si>
  <si>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</si>
  <si>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</si>
  <si>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</si>
  <si>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</si>
  <si>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</si>
  <si>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</si>
  <si>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</si>
  <si>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</si>
  <si>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</si>
  <si>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</si>
  <si>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</si>
  <si>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</si>
  <si>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</si>
  <si>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</si>
  <si>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</si>
  <si>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</si>
  <si>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</si>
  <si>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</si>
  <si>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</si>
  <si>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</si>
  <si>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</si>
  <si>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</si>
  <si>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</si>
  <si>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</si>
  <si>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</si>
  <si>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</si>
  <si>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</si>
  <si>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</si>
  <si>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</si>
  <si>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</si>
  <si>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</si>
  <si>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</si>
  <si>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</si>
  <si>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</si>
  <si>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</si>
  <si>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</si>
  <si>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</si>
  <si>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</si>
  <si>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</si>
  <si>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</si>
  <si>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</si>
  <si>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</si>
  <si>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</si>
  <si>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</si>
  <si>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</si>
  <si>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</si>
  <si>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</si>
  <si>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</si>
  <si>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</si>
  <si>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</si>
  <si>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</si>
  <si>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</si>
  <si>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</si>
  <si>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</si>
  <si>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</si>
  <si>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</si>
  <si>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</si>
  <si>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</si>
  <si>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</si>
  <si>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</si>
  <si>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</si>
  <si>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</si>
  <si>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</si>
  <si>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</si>
  <si>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</si>
  <si>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</si>
  <si>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</si>
  <si>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</si>
  <si>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</si>
  <si>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</si>
  <si>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</si>
  <si>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</si>
  <si>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</si>
  <si>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</si>
  <si>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</si>
  <si>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</si>
  <si>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</si>
  <si>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</si>
  <si>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</si>
  <si>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</si>
  <si>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</si>
  <si>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</si>
  <si>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</si>
  <si>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</si>
  <si>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</si>
  <si>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</si>
  <si>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</si>
  <si>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</si>
  <si>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</si>
  <si>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</si>
  <si>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</si>
  <si>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</si>
  <si>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</si>
  <si>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</si>
  <si>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</si>
  <si>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</si>
  <si>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</si>
  <si>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</si>
  <si>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</si>
  <si>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</si>
  <si>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</si>
  <si>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</si>
  <si>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</si>
  <si>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</si>
  <si>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</si>
  <si>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</si>
  <si>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</si>
  <si>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</si>
  <si>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</si>
  <si>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</si>
  <si>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</si>
  <si>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</si>
  <si>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</si>
  <si>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</si>
  <si>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</si>
  <si>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</si>
  <si>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</si>
  <si>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</si>
  <si>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</si>
  <si>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</si>
  <si>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</si>
  <si>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</si>
  <si>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</si>
  <si>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</si>
  <si>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</si>
  <si>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</si>
  <si>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</si>
  <si>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</si>
  <si>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</si>
  <si>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</si>
  <si>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</si>
  <si>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</si>
  <si>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</si>
  <si>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</si>
  <si>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</si>
  <si>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</si>
  <si>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</si>
  <si>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</si>
  <si>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</si>
  <si>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</si>
  <si>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</si>
  <si>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</si>
  <si>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</si>
  <si>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</si>
  <si>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</si>
  <si>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</si>
  <si>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</si>
  <si>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</si>
  <si>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</si>
  <si>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</si>
  <si>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</si>
  <si>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</si>
  <si>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</si>
  <si>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</si>
  <si>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</si>
  <si>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</si>
  <si>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</si>
  <si>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</si>
  <si>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</si>
  <si>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</si>
  <si>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</si>
  <si>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</si>
  <si>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</si>
  <si>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</si>
  <si>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</si>
  <si>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</si>
  <si>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</si>
  <si>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</si>
  <si>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</si>
  <si>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</si>
  <si>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</si>
  <si>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</si>
  <si>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</si>
  <si>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</si>
  <si>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</si>
  <si>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</si>
  <si>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</si>
  <si>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</si>
  <si>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</si>
  <si>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</si>
  <si>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</si>
  <si>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</si>
  <si>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</si>
  <si>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</si>
  <si>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</si>
  <si>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</si>
  <si>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</si>
  <si>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</si>
  <si>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</si>
  <si>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</si>
  <si>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</si>
  <si>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</si>
  <si>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</si>
  <si>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</si>
  <si>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</si>
  <si>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</si>
  <si>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</si>
  <si>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</si>
  <si>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</si>
  <si>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</si>
  <si>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</si>
  <si>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</si>
  <si>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</si>
  <si>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</si>
  <si>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</si>
  <si>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</si>
  <si>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</si>
  <si>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</si>
  <si>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</si>
  <si>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</si>
  <si>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</si>
  <si>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</si>
  <si>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</si>
  <si>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</si>
  <si>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</si>
  <si>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</si>
  <si>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</si>
  <si>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</si>
  <si>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</si>
  <si>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</si>
  <si>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</si>
  <si>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</si>
  <si>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</si>
  <si>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</si>
  <si>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</si>
  <si>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</si>
  <si>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</si>
  <si>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</si>
  <si>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</si>
  <si>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</si>
  <si>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</si>
  <si>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</si>
  <si>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</si>
  <si>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</si>
  <si>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</si>
  <si>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</si>
  <si>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</si>
  <si>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</si>
  <si>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</si>
  <si>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</si>
  <si>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</si>
  <si>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</si>
  <si>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</si>
  <si>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</si>
  <si>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</si>
  <si>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</si>
  <si>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</si>
  <si>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</si>
  <si>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</si>
  <si>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</si>
  <si>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</si>
  <si>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</si>
  <si>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</si>
  <si>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</si>
  <si>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</si>
  <si>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</si>
  <si>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</si>
  <si>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</si>
  <si>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</si>
  <si>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</si>
  <si>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</si>
  <si>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</si>
  <si>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</si>
  <si>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</si>
  <si>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</si>
  <si>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</si>
  <si>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</si>
  <si>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</si>
  <si>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</si>
  <si>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</si>
  <si>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</si>
  <si>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</si>
  <si>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</si>
  <si>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</si>
  <si>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</si>
  <si>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</si>
  <si>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</si>
  <si>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</si>
  <si>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</si>
  <si>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</si>
  <si>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</si>
  <si>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</si>
  <si>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</si>
  <si>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</si>
  <si>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</si>
  <si>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</si>
  <si>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</si>
  <si>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</si>
  <si>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</si>
  <si>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</si>
  <si>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</si>
  <si>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</si>
  <si>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</si>
  <si>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</si>
  <si>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</si>
  <si>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</si>
  <si>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</si>
  <si>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</si>
  <si>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</si>
  <si>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</si>
  <si>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</si>
  <si>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</si>
  <si>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</si>
  <si>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</si>
  <si>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</si>
  <si>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</si>
  <si>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</si>
  <si>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</si>
  <si>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</si>
  <si>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</si>
  <si>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</si>
  <si>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</si>
  <si>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</si>
  <si>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</si>
  <si>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</si>
  <si>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</si>
  <si>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</si>
  <si>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</si>
  <si>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</si>
  <si>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</si>
  <si>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</si>
  <si>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</si>
  <si>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</si>
  <si>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</si>
  <si>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</si>
  <si>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</si>
  <si>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</si>
  <si>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</si>
  <si>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</si>
  <si>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</si>
  <si>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</si>
  <si>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</si>
  <si>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</si>
  <si>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</si>
  <si>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</si>
  <si>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</si>
  <si>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</si>
  <si>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</si>
  <si>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</si>
  <si>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</si>
  <si>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</si>
  <si>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</si>
  <si>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</si>
  <si>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</si>
  <si>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</si>
  <si>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</si>
  <si>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</si>
  <si>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</si>
  <si>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</si>
  <si>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</si>
  <si>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</si>
  <si>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</si>
  <si>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</si>
  <si>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</si>
  <si>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</si>
  <si>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</si>
  <si>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</si>
  <si>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</si>
  <si>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</si>
  <si>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</si>
  <si>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</si>
  <si>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</si>
  <si>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</si>
  <si>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</si>
  <si>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</si>
  <si>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</si>
  <si>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</si>
  <si>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</si>
  <si>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</si>
  <si>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</si>
  <si>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</si>
  <si>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</si>
  <si>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</si>
  <si>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</si>
  <si>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</si>
  <si>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</si>
  <si>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</si>
  <si>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</si>
  <si>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</si>
  <si>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</si>
  <si>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</si>
  <si>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</si>
  <si>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</si>
  <si>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</si>
  <si>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</si>
  <si>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</si>
  <si>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</si>
  <si>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</si>
  <si>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</si>
  <si>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</si>
  <si>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</si>
  <si>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</si>
  <si>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</si>
  <si>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</si>
  <si>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</si>
  <si>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</si>
  <si>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</si>
  <si>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</si>
  <si>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</si>
  <si>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</si>
  <si>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</si>
  <si>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</si>
  <si>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</si>
  <si>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</si>
  <si>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</si>
  <si>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</si>
  <si>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</si>
  <si>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</si>
  <si>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</si>
  <si>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</si>
  <si>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</si>
  <si>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</si>
  <si>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</si>
  <si>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</si>
  <si>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</si>
  <si>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</si>
  <si>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</si>
  <si>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</si>
  <si>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</si>
  <si>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</si>
  <si>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</si>
  <si>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</si>
  <si>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</si>
  <si>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</si>
  <si>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</si>
  <si>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</si>
  <si>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</si>
  <si>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</si>
  <si>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</si>
  <si>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</si>
  <si>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</si>
  <si>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01/10</t>
  </si>
  <si>
    <t>01/30</t>
  </si>
  <si>
    <t>08/13</t>
  </si>
  <si>
    <t>08/28</t>
  </si>
  <si>
    <t>Somersworth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</si>
</sst>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491</v>
      </c>
      <c r="C2" s="21">
        <v>491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0</v>
      </c>
      <c r="G9" s="18">
        <v>0</v>
      </c>
      <c r="H9" s="18">
        <v>0</v>
      </c>
      <c r="I9" s="18">
        <v>1662840.49</v>
      </c>
      <c r="J9" s="67">
        <f>SUM(I440)</f>
        <v>0</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457832.34</v>
      </c>
      <c r="G12" s="18">
        <v>0</v>
      </c>
      <c r="H12" s="18">
        <v>0</v>
      </c>
      <c r="I12" s="18">
        <v>0</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47634.37</v>
      </c>
      <c r="G13" s="18">
        <v>0</v>
      </c>
      <c r="H13" s="18">
        <v>0</v>
      </c>
      <c r="I13" s="18">
        <v>0</v>
      </c>
      <c r="J13" s="67">
        <f>SUM(I443)</f>
        <v>52093.15</v>
      </c>
      <c r="K13" s="24" t="s">
        <v>288</v>
      </c>
      <c r="L13" s="24" t="s">
        <v>288</v>
      </c>
      <c r="M13" s="8"/>
      <c r="N13" s="266"/>
    </row>
    <row r="14" spans="1:14" s="3" customFormat="1" ht="12.2" customHeight="1" x14ac:dyDescent="0.15">
      <c r="A14" s="1" t="s">
        <v>565</v>
      </c>
      <c r="B14" s="2" t="s">
        <v>289</v>
      </c>
      <c r="C14" s="6">
        <v>6</v>
      </c>
      <c r="D14" s="2" t="s">
        <v>428</v>
      </c>
      <c r="E14" s="6">
        <v>150</v>
      </c>
      <c r="F14" s="18">
        <v>0</v>
      </c>
      <c r="G14" s="18">
        <f>192134.28</f>
        <v>192134.28</v>
      </c>
      <c r="H14" s="18">
        <f>597679.88</f>
        <v>597679.88</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720000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505466.71</v>
      </c>
      <c r="G19" s="41">
        <f>SUM(G9:G18)</f>
        <v>192134.28</v>
      </c>
      <c r="H19" s="41">
        <f>SUM(H9:H18)</f>
        <v>597679.88</v>
      </c>
      <c r="I19" s="41">
        <f>SUM(I9:I18)</f>
        <v>2382840.4900000002</v>
      </c>
      <c r="J19" s="41">
        <f>SUM(J9:J18)</f>
        <v>52093.15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80022.47</v>
      </c>
      <c r="H22" s="18">
        <v>223063.01</v>
      </c>
      <c r="I22" s="18">
        <v>2391432.66</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f>463324.72+42141.99</f>
        <v>505466.70999999996</v>
      </c>
      <c r="G23" s="18">
        <v>0</v>
      </c>
      <c r="H23" s="18">
        <v>0</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0</v>
      </c>
      <c r="G24" s="18">
        <f>20484.2+1977.28</f>
        <v>22461.48</v>
      </c>
      <c r="H24" s="18">
        <v>251639.47</v>
      </c>
      <c r="I24" s="18">
        <v>60961.42</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12591.67</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505466.70999999996</v>
      </c>
      <c r="G32" s="41">
        <f>SUM(G22:G31)</f>
        <v>115075.62</v>
      </c>
      <c r="H32" s="41">
        <f>SUM(H22:H31)</f>
        <v>474702.48</v>
      </c>
      <c r="I32" s="41">
        <f>SUM(I22:I31)</f>
        <v>2452394.08</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f>64574.01+14461.93-1977.28</f>
        <v>77058.66</v>
      </c>
      <c r="H48" s="18">
        <v>122977.4</v>
      </c>
      <c r="I48" s="18">
        <v>-69553.59</v>
      </c>
      <c r="J48" s="13">
        <f>SUM(I460)</f>
        <v>52093.15</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77058.66</v>
      </c>
      <c r="H51" s="41">
        <f>SUM(H35:H50)</f>
        <v>122977.4</v>
      </c>
      <c r="I51" s="41">
        <f>SUM(I35:I50)</f>
        <v>-69553.59</v>
      </c>
      <c r="J51" s="41">
        <f>SUM(J35:J50)</f>
        <v>52093.15</v>
      </c>
      <c r="K51" s="45" t="s">
        <v>288</v>
      </c>
      <c r="L51" s="45" t="s">
        <v>288</v>
      </c>
      <c r="N51" s="264"/>
    </row>
    <row r="52" spans="1:14" s="3" customFormat="1" ht="12.2" customHeight="1" thickTop="1" x14ac:dyDescent="0.15">
      <c r="A52" s="38" t="s">
        <v>455</v>
      </c>
      <c r="B52" s="39" t="s">
        <v>289</v>
      </c>
      <c r="C52" s="6">
        <v>37</v>
      </c>
      <c r="D52" s="39" t="s">
        <v>653</v>
      </c>
      <c r="E52" s="39"/>
      <c r="F52" s="41">
        <f>F51+F32</f>
        <v>505466.70999999996</v>
      </c>
      <c r="G52" s="41">
        <f>G51+G32</f>
        <v>192134.28</v>
      </c>
      <c r="H52" s="41">
        <f>H51+H32</f>
        <v>597679.88</v>
      </c>
      <c r="I52" s="41">
        <f>I51+I32</f>
        <v>2382840.4900000002</v>
      </c>
      <c r="J52" s="41">
        <f>J51+J32</f>
        <v>52093.15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16465949.19-1966887</f>
        <v>14499062.189999999</v>
      </c>
      <c r="G57" s="18">
        <v>0</v>
      </c>
      <c r="H57" s="18">
        <v>0</v>
      </c>
      <c r="I57" s="18"/>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14499062.189999999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12560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21040.02</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33600.020000000004</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v>
      </c>
      <c r="G96" s="18">
        <v>0</v>
      </c>
      <c r="H96" s="18">
        <v>0</v>
      </c>
      <c r="I96" s="18">
        <v>8927.2999999999993</v>
      </c>
      <c r="J96" s="18">
        <v>0</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251871.42+16124.25+880.65-108096.52+10885.74+43278.7+13857.69</f>
        <v>228801.93000000005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3500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50+1405.5</f>
        <v>1455.5</v>
      </c>
      <c r="G110" s="18">
        <v>0</v>
      </c>
      <c r="H110" s="18">
        <v>0</v>
      </c>
      <c r="I110" s="18">
        <v>101688</v>
      </c>
      <c r="J110" s="18">
        <v>58994.16</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4955.5</v>
      </c>
      <c r="G111" s="41">
        <f>SUM(G96:G110)</f>
        <v>228801.93000000005</v>
      </c>
      <c r="H111" s="41">
        <f>SUM(H96:H110)</f>
        <v>0</v>
      </c>
      <c r="I111" s="41">
        <f>SUM(I96:I110)</f>
        <v>110615.3</v>
      </c>
      <c r="J111" s="41">
        <f>SUM(J96:J110)</f>
        <v>58994.16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14537617.709999999</v>
      </c>
      <c r="G112" s="41">
        <f>G60+G111</f>
        <v>228801.93000000005</v>
      </c>
      <c r="H112" s="41">
        <f>H60+H79+H94+H111</f>
        <v>0</v>
      </c>
      <c r="I112" s="41">
        <f>I60+I111</f>
        <v>110615.3</v>
      </c>
      <c r="J112" s="41">
        <f>J60+J111</f>
        <v>58994.16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7773559.3200000003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1966887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9891.75</v>
      </c>
      <c r="G120" s="18">
        <v>33118.9</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9750338.0700000003</v>
      </c>
      <c r="G121" s="41">
        <f>SUM(G117:G120)</f>
        <v>33118.9</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f>1221459.3</f>
        <v>1221459.3</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396749.71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35467.25</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2512.8000000000002</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9020.6200000000008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36905.839999999997</v>
      </c>
      <c r="G135" s="18">
        <v>0</v>
      </c>
      <c r="H135" s="18">
        <v>0</v>
      </c>
      <c r="I135" s="18">
        <v>720000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1693094.9000000001</v>
      </c>
      <c r="G136" s="41">
        <f>SUM(G123:G135)</f>
        <v>9020.6200000000008</v>
      </c>
      <c r="H136" s="41">
        <f>SUM(H123:H135)</f>
        <v>0</v>
      </c>
      <c r="I136" s="41">
        <f>SUM(I123:I135)</f>
        <v>720000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11443432.970000001</v>
      </c>
      <c r="G140" s="41">
        <f>G121+SUM(G136:G137)</f>
        <v>42139.520000000004</v>
      </c>
      <c r="H140" s="41">
        <f>H121+SUM(H136:H139)</f>
        <v>0</v>
      </c>
      <c r="I140" s="41">
        <f>I121+I136</f>
        <v>720000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633042.25+60974.21+90.4</f>
        <v>694106.86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1958208.94-H154-H156-H159-H162</f>
        <v>454780.43000000017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87318.87-88.49</f>
        <v>87230.37999999999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451490.82-1977.28</f>
        <v>449513.54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f>408255.07+97062.1+2656.25+111.25</f>
        <v>508084.67000000004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44662.53</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214006.6</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44662.53</v>
      </c>
      <c r="G163" s="41">
        <f>SUM(G150:G162)</f>
        <v>449513.54</v>
      </c>
      <c r="H163" s="41">
        <f>SUM(H150:H162)</f>
        <v>1958208.94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44662.53</v>
      </c>
      <c r="G170" s="41">
        <f>G147+G163+SUM(G164:G169)</f>
        <v>449513.54</v>
      </c>
      <c r="H170" s="41">
        <f>H147+H163+SUM(H164:H169)</f>
        <v>1958208.94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6"/>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6"/>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6"/>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6"/>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4"/>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26025713.210000001</v>
      </c>
      <c r="G194" s="47">
        <f>G112+G140+G170+G193</f>
        <v>720454.99</v>
      </c>
      <c r="H194" s="47">
        <f>H112+H140+H170+H193</f>
        <v>1958208.94</v>
      </c>
      <c r="I194" s="47">
        <f>I112+I140+I170+I193</f>
        <v>830615.3</v>
      </c>
      <c r="J194" s="47">
        <f>J112+J140+J193</f>
        <v>58994.16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2416365.58+23180.87+0.01</f>
        <v>2439546.46</v>
      </c>
      <c r="G198" s="18">
        <f>1292030.9+131265.35</f>
        <v>1423296.25</v>
      </c>
      <c r="H198" s="18">
        <f>78004.81+2113.98</f>
        <v>80118.789999999994</v>
      </c>
      <c r="I198" s="18">
        <v>57077.16</v>
      </c>
      <c r="J198" s="18">
        <v>4499.72</v>
      </c>
      <c r="K198" s="18">
        <v>0</v>
      </c>
      <c r="L198" s="19">
        <f>SUM(F198:K198)</f>
        <v>4004538.3800000004</v>
      </c>
      <c r="M198" s="8"/>
      <c r="N198" s="266"/>
    </row>
    <row r="199" spans="1:14" s="3" customFormat="1" ht="12.2" customHeight="1" x14ac:dyDescent="0.15">
      <c r="A199" s="1" t="s">
        <v>439</v>
      </c>
      <c r="B199" s="2" t="s">
        <v>341</v>
      </c>
      <c r="C199" s="2" t="s">
        <v>291</v>
      </c>
      <c r="D199" s="2" t="s">
        <v>431</v>
      </c>
      <c r="E199" s="6">
        <v>1200</v>
      </c>
      <c r="F199" s="18">
        <v>1150091.1499999999</v>
      </c>
      <c r="G199" s="18">
        <v>715475.08</v>
      </c>
      <c r="H199" s="18">
        <v>639688.46</v>
      </c>
      <c r="I199" s="18">
        <v>4015.02</v>
      </c>
      <c r="J199" s="18">
        <v>0</v>
      </c>
      <c r="K199" s="18">
        <v>0</v>
      </c>
      <c r="L199" s="19">
        <f>SUM(F199:K199)</f>
        <v>2509269.71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389312.02</v>
      </c>
      <c r="G203" s="18">
        <v>192249.93</v>
      </c>
      <c r="H203" s="18">
        <v>208149.46</v>
      </c>
      <c r="I203" s="18">
        <v>3431.69</v>
      </c>
      <c r="J203" s="18">
        <v>0</v>
      </c>
      <c r="K203" s="18">
        <v>4889.2700000000004</v>
      </c>
      <c r="L203" s="19">
        <f t="shared" ref="L203:L209" si="0">SUM(F203:K203)</f>
        <v>798032.36999999988</v>
      </c>
      <c r="M203" s="8"/>
      <c r="N203" s="266"/>
    </row>
    <row r="204" spans="1:14" s="3" customFormat="1" ht="12.2" customHeight="1" x14ac:dyDescent="0.15">
      <c r="A204" s="1" t="s">
        <v>443</v>
      </c>
      <c r="B204" s="2" t="s">
        <v>341</v>
      </c>
      <c r="C204" s="2" t="s">
        <v>295</v>
      </c>
      <c r="D204" s="2" t="s">
        <v>431</v>
      </c>
      <c r="E204" s="6">
        <v>2200</v>
      </c>
      <c r="F204" s="18">
        <v>58955</v>
      </c>
      <c r="G204" s="18">
        <v>39017.660000000003</v>
      </c>
      <c r="H204" s="18">
        <v>18593.78</v>
      </c>
      <c r="I204" s="18">
        <v>8951.32</v>
      </c>
      <c r="J204" s="18">
        <v>0</v>
      </c>
      <c r="K204" s="18">
        <v>0</v>
      </c>
      <c r="L204" s="19">
        <f t="shared" si="0"/>
        <v>125517.76000000001</v>
      </c>
      <c r="M204" s="8"/>
      <c r="N204" s="266"/>
    </row>
    <row r="205" spans="1:14" s="3" customFormat="1" ht="12.2" customHeight="1" x14ac:dyDescent="0.15">
      <c r="A205" s="1" t="s">
        <v>444</v>
      </c>
      <c r="B205" s="2" t="s">
        <v>341</v>
      </c>
      <c r="C205" s="2" t="s">
        <v>296</v>
      </c>
      <c r="D205" s="2" t="s">
        <v>431</v>
      </c>
      <c r="E205" s="6">
        <v>2300</v>
      </c>
      <c r="F205" s="18">
        <v>881.8</v>
      </c>
      <c r="G205" s="18">
        <v>165.96</v>
      </c>
      <c r="H205" s="18">
        <v>488755.19</v>
      </c>
      <c r="I205" s="18">
        <v>1658.18</v>
      </c>
      <c r="J205" s="18">
        <v>0</v>
      </c>
      <c r="K205" s="18">
        <v>2696.92</v>
      </c>
      <c r="L205" s="19">
        <f t="shared" si="0"/>
        <v>494158.05</v>
      </c>
      <c r="M205" s="8"/>
      <c r="N205" s="266"/>
    </row>
    <row r="206" spans="1:14" s="3" customFormat="1" ht="12.2" customHeight="1" x14ac:dyDescent="0.15">
      <c r="A206" s="1" t="s">
        <v>445</v>
      </c>
      <c r="B206" s="2" t="s">
        <v>341</v>
      </c>
      <c r="C206" s="2" t="s">
        <v>297</v>
      </c>
      <c r="D206" s="2" t="s">
        <v>431</v>
      </c>
      <c r="E206" s="6">
        <v>2400</v>
      </c>
      <c r="F206" s="18">
        <v>456689.96</v>
      </c>
      <c r="G206" s="18">
        <v>223487.05</v>
      </c>
      <c r="H206" s="18">
        <f>4327.93+5234.43+2710.85+960.45</f>
        <v>13233.660000000002</v>
      </c>
      <c r="I206" s="18">
        <v>3099.83</v>
      </c>
      <c r="J206" s="18">
        <v>17101</v>
      </c>
      <c r="K206" s="18">
        <v>795</v>
      </c>
      <c r="L206" s="19">
        <f t="shared" si="0"/>
        <v>714406.5</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331906.64</v>
      </c>
      <c r="G208" s="18">
        <v>146601.64000000001</v>
      </c>
      <c r="H208" s="18">
        <v>207927.52</v>
      </c>
      <c r="I208" s="18">
        <v>188786.76</v>
      </c>
      <c r="J208" s="18">
        <v>5212.6099999999997</v>
      </c>
      <c r="K208" s="18">
        <v>0</v>
      </c>
      <c r="L208" s="19">
        <f t="shared" si="0"/>
        <v>880435.17</v>
      </c>
      <c r="M208" s="8"/>
      <c r="N208" s="266"/>
    </row>
    <row r="209" spans="1:14" s="3" customFormat="1" ht="12.2" customHeight="1" x14ac:dyDescent="0.15">
      <c r="A209" s="1" t="s">
        <v>448</v>
      </c>
      <c r="B209" s="2" t="s">
        <v>341</v>
      </c>
      <c r="C209" s="2" t="s">
        <v>300</v>
      </c>
      <c r="D209" s="2" t="s">
        <v>431</v>
      </c>
      <c r="E209" s="6">
        <v>2700</v>
      </c>
      <c r="F209" s="18">
        <v>0</v>
      </c>
      <c r="G209" s="18">
        <v>0</v>
      </c>
      <c r="H209" s="18">
        <v>448514.5</v>
      </c>
      <c r="I209" s="18">
        <v>899.01</v>
      </c>
      <c r="J209" s="18">
        <v>0</v>
      </c>
      <c r="K209" s="18">
        <v>0</v>
      </c>
      <c r="L209" s="19">
        <f t="shared" si="0"/>
        <v>449413.51</v>
      </c>
      <c r="M209" s="8"/>
      <c r="N209" s="266"/>
    </row>
    <row r="210" spans="1:14" s="3" customFormat="1" ht="12.2" customHeight="1" x14ac:dyDescent="0.15">
      <c r="A210" s="1" t="s">
        <v>449</v>
      </c>
      <c r="B210" s="2" t="s">
        <v>341</v>
      </c>
      <c r="C210" s="2" t="s">
        <v>343</v>
      </c>
      <c r="D210" s="2" t="s">
        <v>431</v>
      </c>
      <c r="E210" s="6">
        <v>2800</v>
      </c>
      <c r="F210" s="18">
        <v>0</v>
      </c>
      <c r="G210" s="18">
        <v>0</v>
      </c>
      <c r="H210" s="18">
        <v>81708.73</v>
      </c>
      <c r="I210" s="18">
        <v>31549.73</v>
      </c>
      <c r="J210" s="18">
        <v>54714.1</v>
      </c>
      <c r="K210" s="18">
        <v>0</v>
      </c>
      <c r="L210" s="19">
        <f>SUM(F210:K210)</f>
        <v>167972.56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4827383.0299999993</v>
      </c>
      <c r="G212" s="41">
        <f t="shared" si="1"/>
        <v>2740293.5700000003</v>
      </c>
      <c r="H212" s="41">
        <f t="shared" si="1"/>
        <v>2186690.09</v>
      </c>
      <c r="I212" s="41">
        <f t="shared" si="1"/>
        <v>299468.7</v>
      </c>
      <c r="J212" s="41">
        <f t="shared" si="1"/>
        <v>81527.429999999993</v>
      </c>
      <c r="K212" s="41">
        <f t="shared" si="1"/>
        <v>8381.19</v>
      </c>
      <c r="L212" s="41">
        <f t="shared" si="1"/>
        <v>10143744.01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1375107.92+11015.7-0.03</f>
        <v>1386123.5899999999</v>
      </c>
      <c r="G216" s="18">
        <f>656277.6+62378.16</f>
        <v>718655.76</v>
      </c>
      <c r="H216" s="18">
        <f>56161.76+1004.58</f>
        <v>57166.340000000004</v>
      </c>
      <c r="I216" s="18">
        <v>34781.050000000003</v>
      </c>
      <c r="J216" s="18">
        <v>3923.52</v>
      </c>
      <c r="K216" s="18">
        <v>0</v>
      </c>
      <c r="L216" s="19">
        <f>SUM(F216:K216)</f>
        <v>2200650.2599999993</v>
      </c>
      <c r="M216" s="8"/>
      <c r="N216" s="266"/>
    </row>
    <row r="217" spans="1:14" s="3" customFormat="1" ht="12.2" customHeight="1" x14ac:dyDescent="0.15">
      <c r="A217" s="1" t="s">
        <v>439</v>
      </c>
      <c r="B217" s="2" t="s">
        <v>346</v>
      </c>
      <c r="C217" s="2" t="s">
        <v>291</v>
      </c>
      <c r="D217" s="2" t="s">
        <v>431</v>
      </c>
      <c r="E217" s="6">
        <v>1200</v>
      </c>
      <c r="F217" s="18">
        <v>511971.77</v>
      </c>
      <c r="G217" s="18">
        <v>366516.6</v>
      </c>
      <c r="H217" s="18">
        <v>433494.36</v>
      </c>
      <c r="I217" s="18">
        <v>636.07000000000005</v>
      </c>
      <c r="J217" s="18">
        <v>0</v>
      </c>
      <c r="K217" s="18">
        <v>0</v>
      </c>
      <c r="L217" s="19">
        <f>SUM(F217:K217)</f>
        <v>1312618.8</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20106.05</v>
      </c>
      <c r="G219" s="18">
        <v>4503.93</v>
      </c>
      <c r="H219" s="18">
        <v>3050</v>
      </c>
      <c r="I219" s="18">
        <v>1430</v>
      </c>
      <c r="J219" s="18">
        <v>634.04999999999995</v>
      </c>
      <c r="K219" s="18">
        <v>0</v>
      </c>
      <c r="L219" s="19">
        <f>SUM(F219:K219)</f>
        <v>29724.03</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330043.08</v>
      </c>
      <c r="G221" s="18">
        <v>192487.19</v>
      </c>
      <c r="H221" s="18">
        <v>76444.19</v>
      </c>
      <c r="I221" s="18">
        <v>2018.07</v>
      </c>
      <c r="J221" s="18">
        <v>0</v>
      </c>
      <c r="K221" s="18">
        <v>2581.41</v>
      </c>
      <c r="L221" s="19">
        <f t="shared" ref="L221:L227" si="2">SUM(F221:K221)</f>
        <v>603573.93999999994</v>
      </c>
      <c r="M221" s="8"/>
      <c r="N221" s="266"/>
    </row>
    <row r="222" spans="1:14" s="3" customFormat="1" ht="12.2" customHeight="1" x14ac:dyDescent="0.15">
      <c r="A222" s="1" t="s">
        <v>443</v>
      </c>
      <c r="B222" s="2" t="s">
        <v>346</v>
      </c>
      <c r="C222" s="2" t="s">
        <v>295</v>
      </c>
      <c r="D222" s="2" t="s">
        <v>431</v>
      </c>
      <c r="E222" s="6">
        <v>2200</v>
      </c>
      <c r="F222" s="18">
        <v>46275</v>
      </c>
      <c r="G222" s="18">
        <v>35615.17</v>
      </c>
      <c r="H222" s="18">
        <v>8636.74</v>
      </c>
      <c r="I222" s="18">
        <v>3175.52</v>
      </c>
      <c r="J222" s="18">
        <v>0</v>
      </c>
      <c r="K222" s="18">
        <v>0</v>
      </c>
      <c r="L222" s="19">
        <f t="shared" si="2"/>
        <v>93702.430000000008</v>
      </c>
      <c r="M222" s="8"/>
      <c r="N222" s="266"/>
    </row>
    <row r="223" spans="1:14" s="3" customFormat="1" ht="12.2" customHeight="1" x14ac:dyDescent="0.15">
      <c r="A223" s="1" t="s">
        <v>444</v>
      </c>
      <c r="B223" s="2" t="s">
        <v>346</v>
      </c>
      <c r="C223" s="2" t="s">
        <v>296</v>
      </c>
      <c r="D223" s="2" t="s">
        <v>431</v>
      </c>
      <c r="E223" s="6">
        <v>2300</v>
      </c>
      <c r="F223" s="18">
        <v>419.04</v>
      </c>
      <c r="G223" s="18">
        <v>78.87</v>
      </c>
      <c r="H223" s="18">
        <v>232259.7</v>
      </c>
      <c r="I223" s="18">
        <v>787.98</v>
      </c>
      <c r="J223" s="18">
        <v>0</v>
      </c>
      <c r="K223" s="18">
        <v>1281.5899999999999</v>
      </c>
      <c r="L223" s="19">
        <f t="shared" si="2"/>
        <v>234827.18000000002</v>
      </c>
      <c r="M223" s="8"/>
      <c r="N223" s="266"/>
    </row>
    <row r="224" spans="1:14" s="3" customFormat="1" ht="12.2" customHeight="1" x14ac:dyDescent="0.15">
      <c r="A224" s="1" t="s">
        <v>445</v>
      </c>
      <c r="B224" s="2" t="s">
        <v>346</v>
      </c>
      <c r="C224" s="2" t="s">
        <v>297</v>
      </c>
      <c r="D224" s="2" t="s">
        <v>431</v>
      </c>
      <c r="E224" s="6">
        <v>2400</v>
      </c>
      <c r="F224" s="18">
        <v>264830.76</v>
      </c>
      <c r="G224" s="18">
        <v>112962.26</v>
      </c>
      <c r="H224" s="18">
        <f>2689.53+5197.75+960.45</f>
        <v>8847.7300000000014</v>
      </c>
      <c r="I224" s="18">
        <v>11893.53</v>
      </c>
      <c r="J224" s="18">
        <v>0</v>
      </c>
      <c r="K224" s="18">
        <v>350</v>
      </c>
      <c r="L224" s="19">
        <f t="shared" si="2"/>
        <v>398884.28</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166959.71</v>
      </c>
      <c r="G226" s="18">
        <v>76487.94</v>
      </c>
      <c r="H226" s="18">
        <v>114397.83</v>
      </c>
      <c r="I226" s="18">
        <v>84197.85</v>
      </c>
      <c r="J226" s="18">
        <v>1376.35</v>
      </c>
      <c r="K226" s="18">
        <v>0</v>
      </c>
      <c r="L226" s="19">
        <f t="shared" si="2"/>
        <v>443419.67999999993</v>
      </c>
      <c r="M226" s="8"/>
      <c r="N226" s="266"/>
    </row>
    <row r="227" spans="1:14" s="3" customFormat="1" ht="12.2" customHeight="1" x14ac:dyDescent="0.15">
      <c r="A227" s="1" t="s">
        <v>448</v>
      </c>
      <c r="B227" s="2" t="s">
        <v>346</v>
      </c>
      <c r="C227" s="2" t="s">
        <v>300</v>
      </c>
      <c r="D227" s="2" t="s">
        <v>431</v>
      </c>
      <c r="E227" s="6">
        <v>2700</v>
      </c>
      <c r="F227" s="18">
        <v>0</v>
      </c>
      <c r="G227" s="18">
        <v>0</v>
      </c>
      <c r="H227" s="18">
        <v>217922.25</v>
      </c>
      <c r="I227" s="18">
        <v>427.22</v>
      </c>
      <c r="J227" s="18">
        <v>0</v>
      </c>
      <c r="K227" s="18">
        <v>0</v>
      </c>
      <c r="L227" s="19">
        <f t="shared" si="2"/>
        <v>218349.47</v>
      </c>
      <c r="M227" s="8"/>
      <c r="N227" s="266"/>
    </row>
    <row r="228" spans="1:14" s="3" customFormat="1" ht="12.2" customHeight="1" x14ac:dyDescent="0.15">
      <c r="A228" s="1" t="s">
        <v>449</v>
      </c>
      <c r="B228" s="2" t="s">
        <v>346</v>
      </c>
      <c r="C228" s="2" t="s">
        <v>343</v>
      </c>
      <c r="D228" s="2" t="s">
        <v>431</v>
      </c>
      <c r="E228" s="6">
        <v>2800</v>
      </c>
      <c r="F228" s="18">
        <v>0</v>
      </c>
      <c r="G228" s="18">
        <v>0</v>
      </c>
      <c r="H228" s="18">
        <v>38828.53</v>
      </c>
      <c r="I228" s="18">
        <v>14992.64</v>
      </c>
      <c r="J228" s="18">
        <v>26000.5</v>
      </c>
      <c r="K228" s="18">
        <v>0</v>
      </c>
      <c r="L228" s="19">
        <f>SUM(F228:K228)</f>
        <v>79821.67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2726729</v>
      </c>
      <c r="G230" s="41">
        <f>SUM(G216:G229)</f>
        <v>1507307.7199999997</v>
      </c>
      <c r="H230" s="41">
        <f>SUM(H216:H229)</f>
        <v>1191047.6700000002</v>
      </c>
      <c r="I230" s="41">
        <f>SUM(I216:I229)</f>
        <v>154339.93</v>
      </c>
      <c r="J230" s="41">
        <f>SUM(J216:J229)</f>
        <v>31934.42</v>
      </c>
      <c r="K230" s="41">
        <f t="shared" si="3"/>
        <v>4213</v>
      </c>
      <c r="L230" s="41">
        <f t="shared" si="3"/>
        <v>5615571.7399999984</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1245263.35+13633.93-0.03</f>
        <v>1258897.25</v>
      </c>
      <c r="G234" s="18">
        <f>608785.4+77204.27</f>
        <v>685989.67</v>
      </c>
      <c r="H234" s="18">
        <f>82595.85+1243.35</f>
        <v>83839.200000000012</v>
      </c>
      <c r="I234" s="18">
        <v>48636.41</v>
      </c>
      <c r="J234" s="18">
        <v>2425.0300000000002</v>
      </c>
      <c r="K234" s="18">
        <v>266</v>
      </c>
      <c r="L234" s="19">
        <f>SUM(F234:K234)</f>
        <v>2080053.5599999998</v>
      </c>
      <c r="M234" s="8"/>
      <c r="N234" s="266"/>
    </row>
    <row r="235" spans="1:14" s="3" customFormat="1" ht="12.2" customHeight="1" x14ac:dyDescent="0.15">
      <c r="A235" s="1" t="s">
        <v>439</v>
      </c>
      <c r="B235" s="2" t="s">
        <v>350</v>
      </c>
      <c r="C235" s="2" t="s">
        <v>291</v>
      </c>
      <c r="D235" s="2" t="s">
        <v>431</v>
      </c>
      <c r="E235" s="6">
        <v>1200</v>
      </c>
      <c r="F235" s="18">
        <v>772643.16</v>
      </c>
      <c r="G235" s="18">
        <v>436952.91</v>
      </c>
      <c r="H235" s="18">
        <v>693150.2</v>
      </c>
      <c r="I235" s="18">
        <v>2392.73</v>
      </c>
      <c r="J235" s="18">
        <v>0</v>
      </c>
      <c r="K235" s="18">
        <v>0</v>
      </c>
      <c r="L235" s="19">
        <f>SUM(F235:K235)</f>
        <v>1905139</v>
      </c>
      <c r="M235" s="8"/>
      <c r="N235" s="266"/>
    </row>
    <row r="236" spans="1:14" s="3" customFormat="1" ht="12.2" customHeight="1" x14ac:dyDescent="0.15">
      <c r="A236" s="1" t="s">
        <v>440</v>
      </c>
      <c r="B236" s="2" t="s">
        <v>350</v>
      </c>
      <c r="C236" s="2" t="s">
        <v>292</v>
      </c>
      <c r="D236" s="2" t="s">
        <v>431</v>
      </c>
      <c r="E236" s="6">
        <v>1300</v>
      </c>
      <c r="F236" s="18">
        <v>450466.31</v>
      </c>
      <c r="G236" s="18">
        <v>231825.96</v>
      </c>
      <c r="H236" s="18">
        <v>19679.060000000001</v>
      </c>
      <c r="I236" s="18">
        <v>39595.519999999997</v>
      </c>
      <c r="J236" s="18">
        <v>14000</v>
      </c>
      <c r="K236" s="18">
        <v>0</v>
      </c>
      <c r="L236" s="19">
        <f>SUM(F236:K236)</f>
        <v>755566.85000000009</v>
      </c>
      <c r="M236" s="8"/>
      <c r="N236" s="266"/>
    </row>
    <row r="237" spans="1:14" s="3" customFormat="1" ht="12.2" customHeight="1" x14ac:dyDescent="0.15">
      <c r="A237" s="1" t="s">
        <v>441</v>
      </c>
      <c r="B237" s="2" t="s">
        <v>350</v>
      </c>
      <c r="C237" s="2" t="s">
        <v>293</v>
      </c>
      <c r="D237" s="2" t="s">
        <v>431</v>
      </c>
      <c r="E237" s="6">
        <v>1400</v>
      </c>
      <c r="F237" s="18">
        <v>84068</v>
      </c>
      <c r="G237" s="18">
        <v>14180.03</v>
      </c>
      <c r="H237" s="18">
        <v>9742.7099999999991</v>
      </c>
      <c r="I237" s="18">
        <v>780</v>
      </c>
      <c r="J237" s="18">
        <v>2220.5</v>
      </c>
      <c r="K237" s="18">
        <v>4625</v>
      </c>
      <c r="L237" s="19">
        <f>SUM(F237:K237)</f>
        <v>115616.23999999999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196816.31</v>
      </c>
      <c r="G239" s="18">
        <v>128261.02</v>
      </c>
      <c r="H239" s="18">
        <v>92733.38</v>
      </c>
      <c r="I239" s="18">
        <v>1598.22</v>
      </c>
      <c r="J239" s="18">
        <v>0</v>
      </c>
      <c r="K239" s="18">
        <v>3004.64</v>
      </c>
      <c r="L239" s="19">
        <f t="shared" ref="L239:L245" si="4">SUM(F239:K239)</f>
        <v>422413.57</v>
      </c>
      <c r="M239" s="8"/>
      <c r="N239" s="266"/>
    </row>
    <row r="240" spans="1:14" s="3" customFormat="1" ht="12.2" customHeight="1" x14ac:dyDescent="0.15">
      <c r="A240" s="1" t="s">
        <v>443</v>
      </c>
      <c r="B240" s="2" t="s">
        <v>350</v>
      </c>
      <c r="C240" s="2" t="s">
        <v>295</v>
      </c>
      <c r="D240" s="2" t="s">
        <v>431</v>
      </c>
      <c r="E240" s="6">
        <v>2200</v>
      </c>
      <c r="F240" s="18">
        <v>65865.34</v>
      </c>
      <c r="G240" s="18">
        <v>59223.16</v>
      </c>
      <c r="H240" s="18">
        <v>38686.519999999997</v>
      </c>
      <c r="I240" s="18">
        <v>6633.01</v>
      </c>
      <c r="J240" s="18">
        <v>2132.27</v>
      </c>
      <c r="K240" s="18">
        <v>0</v>
      </c>
      <c r="L240" s="19">
        <f t="shared" si="4"/>
        <v>172540.3</v>
      </c>
      <c r="M240" s="8"/>
      <c r="N240" s="266"/>
    </row>
    <row r="241" spans="1:14" s="3" customFormat="1" ht="12.2" customHeight="1" x14ac:dyDescent="0.15">
      <c r="A241" s="1" t="s">
        <v>444</v>
      </c>
      <c r="B241" s="2" t="s">
        <v>350</v>
      </c>
      <c r="C241" s="2" t="s">
        <v>296</v>
      </c>
      <c r="D241" s="2" t="s">
        <v>431</v>
      </c>
      <c r="E241" s="6">
        <v>2300</v>
      </c>
      <c r="F241" s="18">
        <v>518.64</v>
      </c>
      <c r="G241" s="18">
        <v>97.61</v>
      </c>
      <c r="H241" s="18">
        <v>287463.45</v>
      </c>
      <c r="I241" s="18">
        <v>975.27</v>
      </c>
      <c r="J241" s="18">
        <v>0</v>
      </c>
      <c r="K241" s="18">
        <v>1586.2</v>
      </c>
      <c r="L241" s="19">
        <f t="shared" si="4"/>
        <v>290641.17000000004</v>
      </c>
      <c r="M241" s="8"/>
      <c r="N241" s="266"/>
    </row>
    <row r="242" spans="1:14" s="3" customFormat="1" ht="12.2" customHeight="1" x14ac:dyDescent="0.15">
      <c r="A242" s="1" t="s">
        <v>445</v>
      </c>
      <c r="B242" s="2" t="s">
        <v>350</v>
      </c>
      <c r="C242" s="2" t="s">
        <v>297</v>
      </c>
      <c r="D242" s="2" t="s">
        <v>431</v>
      </c>
      <c r="E242" s="6">
        <v>2400</v>
      </c>
      <c r="F242" s="18">
        <v>414537.43</v>
      </c>
      <c r="G242" s="18">
        <v>177701.09</v>
      </c>
      <c r="H242" s="18">
        <f>8690.35+6364.05+960.45</f>
        <v>16014.850000000002</v>
      </c>
      <c r="I242" s="18">
        <v>3758.04</v>
      </c>
      <c r="J242" s="18">
        <v>0</v>
      </c>
      <c r="K242" s="18">
        <v>5519</v>
      </c>
      <c r="L242" s="19">
        <f t="shared" si="4"/>
        <v>617530.41</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253164.37</v>
      </c>
      <c r="G244" s="18">
        <v>114458.55</v>
      </c>
      <c r="H244" s="18">
        <v>228037.55</v>
      </c>
      <c r="I244" s="18">
        <v>322495.18</v>
      </c>
      <c r="J244" s="18">
        <v>2779.26</v>
      </c>
      <c r="K244" s="18">
        <v>0</v>
      </c>
      <c r="L244" s="19">
        <f t="shared" si="4"/>
        <v>920934.90999999992</v>
      </c>
      <c r="M244" s="8"/>
      <c r="N244" s="266"/>
    </row>
    <row r="245" spans="1:14" s="3" customFormat="1" ht="12.2" customHeight="1" x14ac:dyDescent="0.15">
      <c r="A245" s="1" t="s">
        <v>448</v>
      </c>
      <c r="B245" s="2" t="s">
        <v>350</v>
      </c>
      <c r="C245" s="2" t="s">
        <v>300</v>
      </c>
      <c r="D245" s="2" t="s">
        <v>431</v>
      </c>
      <c r="E245" s="6">
        <v>2700</v>
      </c>
      <c r="F245" s="18">
        <v>0</v>
      </c>
      <c r="G245" s="18">
        <v>0</v>
      </c>
      <c r="H245" s="18">
        <v>325171.49</v>
      </c>
      <c r="I245" s="18">
        <v>528.76</v>
      </c>
      <c r="J245" s="18">
        <v>0</v>
      </c>
      <c r="K245" s="18">
        <v>0</v>
      </c>
      <c r="L245" s="19">
        <f t="shared" si="4"/>
        <v>325700.25</v>
      </c>
      <c r="M245" s="8"/>
      <c r="N245" s="266"/>
    </row>
    <row r="246" spans="1:14" s="3" customFormat="1" ht="12.2" customHeight="1" x14ac:dyDescent="0.15">
      <c r="A246" s="1" t="s">
        <v>449</v>
      </c>
      <c r="B246" s="2" t="s">
        <v>350</v>
      </c>
      <c r="C246" s="2" t="s">
        <v>343</v>
      </c>
      <c r="D246" s="2" t="s">
        <v>431</v>
      </c>
      <c r="E246" s="6">
        <v>2800</v>
      </c>
      <c r="F246" s="18">
        <v>0</v>
      </c>
      <c r="G246" s="18">
        <v>0</v>
      </c>
      <c r="H246" s="18">
        <v>48057.34</v>
      </c>
      <c r="I246" s="18">
        <v>18556.11</v>
      </c>
      <c r="J246" s="18">
        <v>32180.33</v>
      </c>
      <c r="K246" s="18">
        <v>0</v>
      </c>
      <c r="L246" s="19">
        <f>SUM(F246:K246)</f>
        <v>98793.78</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3496976.8100000005</v>
      </c>
      <c r="G248" s="41">
        <f t="shared" si="5"/>
        <v>1848690.0000000002</v>
      </c>
      <c r="H248" s="41">
        <f t="shared" si="5"/>
        <v>1842575.7500000002</v>
      </c>
      <c r="I248" s="41">
        <f t="shared" si="5"/>
        <v>445949.25</v>
      </c>
      <c r="J248" s="41">
        <f t="shared" si="5"/>
        <v>55737.39</v>
      </c>
      <c r="K248" s="41">
        <f t="shared" si="5"/>
        <v>15000.84</v>
      </c>
      <c r="L248" s="41">
        <f t="shared" si="5"/>
        <v>7704930.040000001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714457</v>
      </c>
      <c r="I256" s="18">
        <v>0</v>
      </c>
      <c r="J256" s="18">
        <v>0</v>
      </c>
      <c r="K256" s="18">
        <v>0</v>
      </c>
      <c r="L256" s="19">
        <f t="shared" si="6"/>
        <v>714457</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714457</v>
      </c>
      <c r="I257" s="41">
        <f t="shared" si="7"/>
        <v>0</v>
      </c>
      <c r="J257" s="41">
        <f t="shared" si="7"/>
        <v>0</v>
      </c>
      <c r="K257" s="41">
        <f t="shared" si="7"/>
        <v>0</v>
      </c>
      <c r="L257" s="41">
        <f>SUM(F257:K257)</f>
        <v>714457</v>
      </c>
      <c r="M257" s="8"/>
      <c r="N257" s="266"/>
    </row>
    <row r="258" spans="1:14" s="3" customFormat="1" ht="12.2" customHeight="1" thickTop="1" x14ac:dyDescent="0.15">
      <c r="A258" s="38" t="s">
        <v>462</v>
      </c>
      <c r="B258" s="40">
        <v>10</v>
      </c>
      <c r="C258" s="40">
        <v>8</v>
      </c>
      <c r="D258" s="39" t="s">
        <v>431</v>
      </c>
      <c r="E258" s="40"/>
      <c r="F258" s="41">
        <f t="shared" ref="F258:L258" si="8">F212+F230+F248+F257</f>
        <v>11051088.84</v>
      </c>
      <c r="G258" s="41">
        <f t="shared" si="8"/>
        <v>6096291.29</v>
      </c>
      <c r="H258" s="41">
        <f t="shared" si="8"/>
        <v>5934770.5099999998</v>
      </c>
      <c r="I258" s="41">
        <f t="shared" si="8"/>
        <v>899757.88</v>
      </c>
      <c r="J258" s="41">
        <f t="shared" si="8"/>
        <v>169199.24</v>
      </c>
      <c r="K258" s="41">
        <f t="shared" si="8"/>
        <v>27595.03</v>
      </c>
      <c r="L258" s="41">
        <f t="shared" si="8"/>
        <v>24178702.789999999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1240480.48</v>
      </c>
      <c r="L261" s="19">
        <f>SUM(F261:K261)</f>
        <v>1240480.48</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606529.93999999994</v>
      </c>
      <c r="L262" s="19">
        <f>SUM(F262:K262)</f>
        <v>606529.93999999994</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1847010.42</v>
      </c>
      <c r="L271" s="41">
        <f t="shared" si="9"/>
        <v>1847010.42</v>
      </c>
      <c r="M271" s="8"/>
      <c r="N271" s="266"/>
    </row>
    <row r="272" spans="1:14" s="34" customFormat="1" ht="12.2" customHeight="1" thickTop="1" x14ac:dyDescent="0.2">
      <c r="A272" s="43" t="s">
        <v>464</v>
      </c>
      <c r="B272" s="40">
        <v>10</v>
      </c>
      <c r="C272" s="40">
        <v>18</v>
      </c>
      <c r="D272" s="39" t="s">
        <v>431</v>
      </c>
      <c r="E272" s="40"/>
      <c r="F272" s="42">
        <f t="shared" ref="F272:L272" si="11">F258+F271</f>
        <v>11051088.84</v>
      </c>
      <c r="G272" s="42">
        <f t="shared" si="11"/>
        <v>6096291.29</v>
      </c>
      <c r="H272" s="42">
        <f t="shared" si="11"/>
        <v>5934770.5099999998</v>
      </c>
      <c r="I272" s="42">
        <f t="shared" si="11"/>
        <v>899757.88</v>
      </c>
      <c r="J272" s="42">
        <f t="shared" si="11"/>
        <v>169199.24</v>
      </c>
      <c r="K272" s="42">
        <f t="shared" si="11"/>
        <v>1874605.45</v>
      </c>
      <c r="L272" s="42">
        <f t="shared" si="11"/>
        <v>26025713.210000001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235074.06+4876.27+0.01</f>
        <v>239950.34</v>
      </c>
      <c r="G277" s="18">
        <f>133534.66+964.5</f>
        <v>134499.16</v>
      </c>
      <c r="H277" s="18">
        <f>12.47+2357.08+1405.81</f>
        <v>3775.3599999999997</v>
      </c>
      <c r="I277" s="18">
        <f>12242.85+1727.47</f>
        <v>13970.32</v>
      </c>
      <c r="J277" s="18">
        <v>123398.32</v>
      </c>
      <c r="K277" s="18">
        <f>324.34+1322.14</f>
        <v>1646.48</v>
      </c>
      <c r="L277" s="19">
        <f>SUM(F277:K277)</f>
        <v>517239.98</v>
      </c>
      <c r="M277" s="8"/>
      <c r="N277" s="266"/>
    </row>
    <row r="278" spans="1:14" s="3" customFormat="1" ht="12.2" customHeight="1" x14ac:dyDescent="0.15">
      <c r="A278" s="1" t="s">
        <v>439</v>
      </c>
      <c r="B278" s="2" t="s">
        <v>357</v>
      </c>
      <c r="C278" s="2" t="s">
        <v>291</v>
      </c>
      <c r="D278" s="2" t="s">
        <v>431</v>
      </c>
      <c r="E278" s="6">
        <v>1200</v>
      </c>
      <c r="F278" s="18">
        <v>103017.86</v>
      </c>
      <c r="G278" s="18">
        <v>46250.94</v>
      </c>
      <c r="H278" s="18">
        <v>3750</v>
      </c>
      <c r="I278" s="18">
        <v>360.4</v>
      </c>
      <c r="J278" s="18">
        <v>7999</v>
      </c>
      <c r="K278" s="18">
        <v>0</v>
      </c>
      <c r="L278" s="19">
        <f>SUM(F278:K278)</f>
        <v>161378.19999999998</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94882.94</v>
      </c>
      <c r="G280" s="18">
        <v>30657.11</v>
      </c>
      <c r="H280" s="18">
        <v>0</v>
      </c>
      <c r="I280" s="18">
        <v>38681.760000000002</v>
      </c>
      <c r="J280" s="18">
        <v>0</v>
      </c>
      <c r="K280" s="18">
        <v>0</v>
      </c>
      <c r="L280" s="19">
        <f>SUM(F280:K280)</f>
        <v>164221.81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88862.05</v>
      </c>
      <c r="G282" s="18">
        <v>28441.71</v>
      </c>
      <c r="H282" s="18">
        <v>115513.03</v>
      </c>
      <c r="I282" s="18">
        <v>4349.08</v>
      </c>
      <c r="J282" s="18">
        <v>0</v>
      </c>
      <c r="K282" s="18">
        <v>0</v>
      </c>
      <c r="L282" s="19">
        <f t="shared" ref="L282:L288" si="12">SUM(F282:K282)</f>
        <v>237165.87</v>
      </c>
      <c r="M282" s="8"/>
      <c r="N282" s="266"/>
    </row>
    <row r="283" spans="1:14" s="3" customFormat="1" ht="12.2" customHeight="1" x14ac:dyDescent="0.15">
      <c r="A283" s="1" t="s">
        <v>443</v>
      </c>
      <c r="B283" s="2" t="s">
        <v>357</v>
      </c>
      <c r="C283" s="2" t="s">
        <v>295</v>
      </c>
      <c r="D283" s="2" t="s">
        <v>431</v>
      </c>
      <c r="E283" s="6">
        <v>2200</v>
      </c>
      <c r="F283" s="18">
        <v>9959.48</v>
      </c>
      <c r="G283" s="18">
        <v>2387.6799999999998</v>
      </c>
      <c r="H283" s="18">
        <v>67492.06</v>
      </c>
      <c r="I283" s="18">
        <v>5411.36</v>
      </c>
      <c r="J283" s="18">
        <v>0</v>
      </c>
      <c r="K283" s="18">
        <v>0</v>
      </c>
      <c r="L283" s="19">
        <f t="shared" si="12"/>
        <v>85250.58</v>
      </c>
      <c r="M283" s="8"/>
      <c r="N283" s="266"/>
    </row>
    <row r="284" spans="1:14" s="3" customFormat="1" ht="12.2" customHeight="1" x14ac:dyDescent="0.15">
      <c r="A284" s="1" t="s">
        <v>444</v>
      </c>
      <c r="B284" s="2" t="s">
        <v>357</v>
      </c>
      <c r="C284" s="2" t="s">
        <v>296</v>
      </c>
      <c r="D284" s="2" t="s">
        <v>431</v>
      </c>
      <c r="E284" s="6">
        <v>2300</v>
      </c>
      <c r="F284" s="18">
        <v>20519.48</v>
      </c>
      <c r="G284" s="18">
        <v>3556.67</v>
      </c>
      <c r="H284" s="18">
        <v>644.4</v>
      </c>
      <c r="I284" s="18">
        <v>4054.66</v>
      </c>
      <c r="J284" s="18">
        <v>0</v>
      </c>
      <c r="K284" s="18">
        <v>0</v>
      </c>
      <c r="L284" s="19">
        <f t="shared" si="12"/>
        <v>28775.210000000003</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34383.379999999997</v>
      </c>
      <c r="G286" s="18">
        <v>2630.51</v>
      </c>
      <c r="H286" s="18">
        <v>1844.25</v>
      </c>
      <c r="I286" s="18">
        <v>400.56</v>
      </c>
      <c r="J286" s="18">
        <v>772.1</v>
      </c>
      <c r="K286" s="18">
        <v>26847.11</v>
      </c>
      <c r="L286" s="19">
        <f t="shared" si="12"/>
        <v>66877.91</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9374.2099999999991</v>
      </c>
      <c r="I288" s="18">
        <v>0</v>
      </c>
      <c r="J288" s="18">
        <v>0</v>
      </c>
      <c r="K288" s="18">
        <v>0</v>
      </c>
      <c r="L288" s="19">
        <f t="shared" si="12"/>
        <v>9374.2099999999991</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591575.53</v>
      </c>
      <c r="G291" s="42">
        <f t="shared" si="13"/>
        <v>248423.78000000003</v>
      </c>
      <c r="H291" s="42">
        <f t="shared" si="13"/>
        <v>202393.31</v>
      </c>
      <c r="I291" s="42">
        <f t="shared" si="13"/>
        <v>67228.14</v>
      </c>
      <c r="J291" s="42">
        <f t="shared" si="13"/>
        <v>132169.42000000001</v>
      </c>
      <c r="K291" s="42">
        <f t="shared" si="13"/>
        <v>28493.59</v>
      </c>
      <c r="L291" s="41">
        <f t="shared" si="13"/>
        <v>1270283.7699999998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111708.75+2317.23+0.01</f>
        <v>114025.98999999999</v>
      </c>
      <c r="G296" s="18">
        <f>63456.55+458.34</f>
        <v>63914.89</v>
      </c>
      <c r="H296" s="18">
        <f>5.93+1120.1+668.05</f>
        <v>1794.08</v>
      </c>
      <c r="I296" s="18">
        <f>5751.36+0</f>
        <v>5751.36</v>
      </c>
      <c r="J296" s="18">
        <v>53936.94</v>
      </c>
      <c r="K296" s="18">
        <f>154.13+628.29</f>
        <v>782.42</v>
      </c>
      <c r="L296" s="19">
        <f>SUM(F296:K296)</f>
        <v>240205.68</v>
      </c>
      <c r="M296" s="8"/>
      <c r="N296" s="266"/>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46589</v>
      </c>
      <c r="G299" s="18">
        <v>14568.46</v>
      </c>
      <c r="H299" s="18">
        <v>1664.98</v>
      </c>
      <c r="I299" s="18">
        <v>24322.63</v>
      </c>
      <c r="J299" s="18">
        <v>0</v>
      </c>
      <c r="K299" s="18">
        <v>0</v>
      </c>
      <c r="L299" s="19">
        <f>SUM(F299:K299)</f>
        <v>87145.07</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27134.799999999999</v>
      </c>
      <c r="G301" s="18">
        <v>4600.9799999999996</v>
      </c>
      <c r="H301" s="18">
        <v>0</v>
      </c>
      <c r="I301" s="18">
        <v>2066.71</v>
      </c>
      <c r="J301" s="18">
        <v>0</v>
      </c>
      <c r="K301" s="18">
        <v>0</v>
      </c>
      <c r="L301" s="19">
        <f t="shared" ref="L301:L307" si="14">SUM(F301:K301)</f>
        <v>33802.49</v>
      </c>
      <c r="M301" s="8"/>
      <c r="N301" s="266"/>
    </row>
    <row r="302" spans="1:14" s="3" customFormat="1" ht="12.2" customHeight="1" x14ac:dyDescent="0.15">
      <c r="A302" s="1" t="s">
        <v>443</v>
      </c>
      <c r="B302" s="2" t="s">
        <v>358</v>
      </c>
      <c r="C302" s="2" t="s">
        <v>295</v>
      </c>
      <c r="D302" s="2" t="s">
        <v>431</v>
      </c>
      <c r="E302" s="6">
        <v>2200</v>
      </c>
      <c r="F302" s="18">
        <v>4732.8100000000004</v>
      </c>
      <c r="G302" s="18">
        <v>1134.6400000000001</v>
      </c>
      <c r="H302" s="18">
        <v>20225.669999999998</v>
      </c>
      <c r="I302" s="18">
        <v>2571.52</v>
      </c>
      <c r="J302" s="18">
        <v>0</v>
      </c>
      <c r="K302" s="18">
        <v>0</v>
      </c>
      <c r="L302" s="19">
        <f t="shared" si="14"/>
        <v>28664.639999999999</v>
      </c>
      <c r="M302" s="8"/>
      <c r="N302" s="266"/>
    </row>
    <row r="303" spans="1:14" s="3" customFormat="1" ht="12.2" customHeight="1" x14ac:dyDescent="0.15">
      <c r="A303" s="1" t="s">
        <v>444</v>
      </c>
      <c r="B303" s="2" t="s">
        <v>358</v>
      </c>
      <c r="C303" s="2" t="s">
        <v>296</v>
      </c>
      <c r="D303" s="2" t="s">
        <v>431</v>
      </c>
      <c r="E303" s="6">
        <v>2300</v>
      </c>
      <c r="F303" s="18">
        <v>9750.99</v>
      </c>
      <c r="G303" s="18">
        <v>1690.15</v>
      </c>
      <c r="H303" s="18">
        <v>306.22000000000003</v>
      </c>
      <c r="I303" s="18">
        <v>1926.8</v>
      </c>
      <c r="J303" s="18">
        <v>0</v>
      </c>
      <c r="K303" s="18">
        <v>0</v>
      </c>
      <c r="L303" s="19">
        <f t="shared" si="14"/>
        <v>13674.159999999998</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16339.21</v>
      </c>
      <c r="G305" s="18">
        <v>1250.04</v>
      </c>
      <c r="H305" s="18">
        <v>876.4</v>
      </c>
      <c r="I305" s="18">
        <v>190.35</v>
      </c>
      <c r="J305" s="18">
        <v>366.9</v>
      </c>
      <c r="K305" s="18">
        <v>6928.26</v>
      </c>
      <c r="L305" s="19">
        <f t="shared" si="14"/>
        <v>25951.160000000003</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4454.6899999999996</v>
      </c>
      <c r="I307" s="18">
        <v>0</v>
      </c>
      <c r="J307" s="18">
        <v>0</v>
      </c>
      <c r="K307" s="18">
        <v>0</v>
      </c>
      <c r="L307" s="19">
        <f t="shared" si="14"/>
        <v>4454.6899999999996</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218572.79999999996</v>
      </c>
      <c r="G310" s="42">
        <f t="shared" si="15"/>
        <v>87159.159999999989</v>
      </c>
      <c r="H310" s="42">
        <f t="shared" si="15"/>
        <v>29322.04</v>
      </c>
      <c r="I310" s="42">
        <f t="shared" si="15"/>
        <v>36829.370000000003</v>
      </c>
      <c r="J310" s="42">
        <f t="shared" si="15"/>
        <v>54303.840000000004</v>
      </c>
      <c r="K310" s="42">
        <f t="shared" si="15"/>
        <v>7710.68</v>
      </c>
      <c r="L310" s="41">
        <f t="shared" si="15"/>
        <v>433897.88999999996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1815.17+2868</f>
        <v>4683.17</v>
      </c>
      <c r="G315" s="18">
        <f>453.97+567.28</f>
        <v>1021.25</v>
      </c>
      <c r="H315" s="18">
        <f>1386.32+826.83</f>
        <v>2213.15</v>
      </c>
      <c r="I315" s="18">
        <v>1202.33</v>
      </c>
      <c r="J315" s="18">
        <v>68043.539999999994</v>
      </c>
      <c r="K315" s="18">
        <f>190.76+777.62</f>
        <v>968.38</v>
      </c>
      <c r="L315" s="19">
        <f>SUM(F315:K315)</f>
        <v>78131.819999999992</v>
      </c>
      <c r="M315" s="8"/>
      <c r="N315" s="266"/>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6"/>
    </row>
    <row r="317" spans="1:14" s="3" customFormat="1" ht="12.2" customHeight="1" x14ac:dyDescent="0.15">
      <c r="A317" s="1" t="s">
        <v>440</v>
      </c>
      <c r="B317" s="2" t="s">
        <v>359</v>
      </c>
      <c r="C317" s="2" t="s">
        <v>292</v>
      </c>
      <c r="D317" s="2" t="s">
        <v>431</v>
      </c>
      <c r="E317" s="6">
        <v>1300</v>
      </c>
      <c r="F317" s="18">
        <v>1050</v>
      </c>
      <c r="G317" s="18">
        <v>155.5</v>
      </c>
      <c r="H317" s="18">
        <v>3265.75</v>
      </c>
      <c r="I317" s="18">
        <v>24464.720000000001</v>
      </c>
      <c r="J317" s="18">
        <v>30675.05</v>
      </c>
      <c r="K317" s="18">
        <v>11299.48</v>
      </c>
      <c r="L317" s="19">
        <f>SUM(F317:K317)</f>
        <v>70910.5</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33584.230000000003</v>
      </c>
      <c r="G320" s="18">
        <v>5694.54</v>
      </c>
      <c r="H320" s="18">
        <v>0</v>
      </c>
      <c r="I320" s="18">
        <v>2557.9299999999998</v>
      </c>
      <c r="J320" s="18">
        <v>0</v>
      </c>
      <c r="K320" s="18">
        <v>0</v>
      </c>
      <c r="L320" s="19">
        <f t="shared" ref="L320:L326" si="16">SUM(F320:K320)</f>
        <v>41836.700000000004</v>
      </c>
      <c r="M320" s="8"/>
      <c r="N320" s="266"/>
    </row>
    <row r="321" spans="1:14" s="3" customFormat="1" ht="12.2" customHeight="1" x14ac:dyDescent="0.15">
      <c r="A321" s="1" t="s">
        <v>443</v>
      </c>
      <c r="B321" s="2" t="s">
        <v>359</v>
      </c>
      <c r="C321" s="2" t="s">
        <v>295</v>
      </c>
      <c r="D321" s="2" t="s">
        <v>431</v>
      </c>
      <c r="E321" s="6">
        <v>2200</v>
      </c>
      <c r="F321" s="18">
        <v>5857.71</v>
      </c>
      <c r="G321" s="18">
        <v>1404.33</v>
      </c>
      <c r="H321" s="18">
        <v>35018.36</v>
      </c>
      <c r="I321" s="18">
        <v>1634.44</v>
      </c>
      <c r="J321" s="18">
        <v>0</v>
      </c>
      <c r="K321" s="18">
        <v>0</v>
      </c>
      <c r="L321" s="19">
        <f t="shared" si="16"/>
        <v>43914.840000000004</v>
      </c>
      <c r="M321" s="8"/>
      <c r="N321" s="266"/>
    </row>
    <row r="322" spans="1:14" s="3" customFormat="1" ht="12.2" customHeight="1" x14ac:dyDescent="0.15">
      <c r="A322" s="1" t="s">
        <v>444</v>
      </c>
      <c r="B322" s="2" t="s">
        <v>359</v>
      </c>
      <c r="C322" s="2" t="s">
        <v>296</v>
      </c>
      <c r="D322" s="2" t="s">
        <v>431</v>
      </c>
      <c r="E322" s="6">
        <v>2300</v>
      </c>
      <c r="F322" s="18">
        <v>12068.62</v>
      </c>
      <c r="G322" s="18">
        <v>2091.87</v>
      </c>
      <c r="H322" s="18">
        <v>379.01</v>
      </c>
      <c r="I322" s="18">
        <v>2384.77</v>
      </c>
      <c r="J322" s="18">
        <v>0</v>
      </c>
      <c r="K322" s="18">
        <v>0</v>
      </c>
      <c r="L322" s="19">
        <f t="shared" si="16"/>
        <v>16924.27</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1960.25</v>
      </c>
      <c r="G324" s="18">
        <v>149.82</v>
      </c>
      <c r="H324" s="18">
        <v>2279.98</v>
      </c>
      <c r="I324" s="18">
        <v>0</v>
      </c>
      <c r="J324" s="18">
        <v>0</v>
      </c>
      <c r="K324" s="18">
        <v>993.06</v>
      </c>
      <c r="L324" s="19">
        <f t="shared" si="16"/>
        <v>5383.1100000000006</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137.11000000000001</v>
      </c>
      <c r="I326" s="18">
        <v>0</v>
      </c>
      <c r="J326" s="18">
        <v>0</v>
      </c>
      <c r="K326" s="18">
        <v>0</v>
      </c>
      <c r="L326" s="19">
        <f t="shared" si="16"/>
        <v>137.11000000000001</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59203.98</v>
      </c>
      <c r="G329" s="42">
        <f t="shared" si="17"/>
        <v>10517.309999999998</v>
      </c>
      <c r="H329" s="42">
        <f t="shared" si="17"/>
        <v>43293.360000000008</v>
      </c>
      <c r="I329" s="42">
        <f t="shared" si="17"/>
        <v>32244.190000000002</v>
      </c>
      <c r="J329" s="42">
        <f t="shared" si="17"/>
        <v>98718.59</v>
      </c>
      <c r="K329" s="42">
        <f t="shared" si="17"/>
        <v>13260.919999999998</v>
      </c>
      <c r="L329" s="41">
        <f t="shared" si="17"/>
        <v>257238.34999999998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869352.30999999994</v>
      </c>
      <c r="G339" s="41">
        <f t="shared" si="20"/>
        <v>346100.25</v>
      </c>
      <c r="H339" s="41">
        <f t="shared" si="20"/>
        <v>275008.71000000002</v>
      </c>
      <c r="I339" s="41">
        <f t="shared" si="20"/>
        <v>136301.70000000001</v>
      </c>
      <c r="J339" s="41">
        <f t="shared" si="20"/>
        <v>285191.84999999998</v>
      </c>
      <c r="K339" s="41">
        <f t="shared" si="20"/>
        <v>49465.19</v>
      </c>
      <c r="L339" s="41">
        <f t="shared" si="20"/>
        <v>1961420.0099999998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869352.30999999994</v>
      </c>
      <c r="G353" s="41">
        <f>G339</f>
        <v>346100.25</v>
      </c>
      <c r="H353" s="41">
        <f>H339</f>
        <v>275008.71000000002</v>
      </c>
      <c r="I353" s="41">
        <f>I339</f>
        <v>136301.70000000001</v>
      </c>
      <c r="J353" s="41">
        <f>J339</f>
        <v>285191.84999999998</v>
      </c>
      <c r="K353" s="47">
        <f>K339+K352</f>
        <v>49465.19</v>
      </c>
      <c r="L353" s="41">
        <f>L339+L352</f>
        <v>1961420.0099999998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0</v>
      </c>
      <c r="G359" s="18">
        <v>0</v>
      </c>
      <c r="H359" s="18">
        <f>663991+7589.87</f>
        <v>671580.87</v>
      </c>
      <c r="I359" s="18">
        <f>15121.72+17996.81+184.94</f>
        <v>33303.47</v>
      </c>
      <c r="J359" s="18">
        <v>3086</v>
      </c>
      <c r="K359" s="18">
        <v>0</v>
      </c>
      <c r="L359" s="13">
        <f>SUM(F359:K359)</f>
        <v>707970.34</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671580.87</v>
      </c>
      <c r="I363" s="47">
        <f t="shared" si="22"/>
        <v>33303.47</v>
      </c>
      <c r="J363" s="47">
        <f t="shared" si="22"/>
        <v>3086</v>
      </c>
      <c r="K363" s="47">
        <f t="shared" si="22"/>
        <v>0</v>
      </c>
      <c r="L363" s="47">
        <f t="shared" si="22"/>
        <v>707970.34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15121.72+17996.81</f>
        <v>33118.53</v>
      </c>
      <c r="G368" s="18">
        <v>0</v>
      </c>
      <c r="H368" s="18">
        <v>0</v>
      </c>
      <c r="I368" s="56">
        <f>SUM(F368:H368)</f>
        <v>33118.53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184.94</v>
      </c>
      <c r="G369" s="63">
        <v>0</v>
      </c>
      <c r="H369" s="63">
        <v>0</v>
      </c>
      <c r="I369" s="56">
        <f>SUM(F369:H369)</f>
        <v>184.94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33303.47</v>
      </c>
      <c r="G370" s="47">
        <f>SUM(G368:G369)</f>
        <v>0</v>
      </c>
      <c r="H370" s="47">
        <f>SUM(H368:H369)</f>
        <v>0</v>
      </c>
      <c r="I370" s="47">
        <f>SUM(I368:I369)</f>
        <v>33303.47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95.16</v>
      </c>
      <c r="G380" s="18">
        <f>7.28+10.63</f>
        <v>17.91</v>
      </c>
      <c r="H380" s="18">
        <f>40700.77+2751.45+1968992.75+13641.52+52.7</f>
        <v>2026139.19</v>
      </c>
      <c r="I380" s="18">
        <v>0</v>
      </c>
      <c r="J380" s="18">
        <f>67944.47</f>
        <v>67944.47</v>
      </c>
      <c r="K380" s="18">
        <v>0</v>
      </c>
      <c r="L380" s="13">
        <f t="shared" si="23"/>
        <v>2094196.73</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95.16</v>
      </c>
      <c r="G383" s="139">
        <f t="shared" ref="G383:L383" si="24">SUM(G375:G382)</f>
        <v>17.91</v>
      </c>
      <c r="H383" s="139">
        <f t="shared" si="24"/>
        <v>2026139.19</v>
      </c>
      <c r="I383" s="41">
        <f t="shared" si="24"/>
        <v>0</v>
      </c>
      <c r="J383" s="47">
        <f t="shared" si="24"/>
        <v>67944.47</v>
      </c>
      <c r="K383" s="47">
        <f t="shared" si="24"/>
        <v>0</v>
      </c>
      <c r="L383" s="47">
        <f t="shared" si="24"/>
        <v>2094196.73</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v>0</v>
      </c>
      <c r="G401" s="18">
        <v>0</v>
      </c>
      <c r="H401" s="18">
        <v>0</v>
      </c>
      <c r="I401" s="18">
        <v>58994.16</v>
      </c>
      <c r="J401" s="24" t="s">
        <v>288</v>
      </c>
      <c r="K401" s="24" t="s">
        <v>288</v>
      </c>
      <c r="L401" s="56">
        <f t="shared" si="26"/>
        <v>58994.16</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58994.16</v>
      </c>
      <c r="J402" s="45" t="s">
        <v>288</v>
      </c>
      <c r="K402" s="45" t="s">
        <v>288</v>
      </c>
      <c r="L402" s="47">
        <f>SUM(L396:L401)</f>
        <v>58994.16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6"/>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6"/>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58994.16</v>
      </c>
      <c r="J409" s="24" t="s">
        <v>288</v>
      </c>
      <c r="K409" s="24" t="s">
        <v>288</v>
      </c>
      <c r="L409" s="47">
        <f>L394+L402+L408</f>
        <v>58994.16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6"/>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6"/>
    </row>
    <row r="419" spans="1:21" s="3" customFormat="1" ht="12.2" customHeight="1" thickBot="1" x14ac:dyDescent="0.2">
      <c r="A419" s="79" t="s">
        <v>555</v>
      </c>
      <c r="B419" s="6">
        <v>17</v>
      </c>
      <c r="C419" s="6">
        <v>6</v>
      </c>
      <c r="D419" s="2" t="s">
        <v>432</v>
      </c>
      <c r="E419" s="6"/>
      <c r="F419" s="18">
        <v>7939.73</v>
      </c>
      <c r="G419" s="18">
        <f>592.75+501.67</f>
        <v>1094.42</v>
      </c>
      <c r="H419" s="18">
        <f>3908+2272+2118+1408+3086+2582+1422</f>
        <v>16796</v>
      </c>
      <c r="I419" s="18">
        <f>21917.99+5742.11+1394.95</f>
        <v>29055.050000000003</v>
      </c>
      <c r="J419" s="18">
        <v>0</v>
      </c>
      <c r="K419" s="18">
        <v>0</v>
      </c>
      <c r="L419" s="56">
        <f t="shared" si="27"/>
        <v>54885.200000000004</v>
      </c>
      <c r="M419" s="8"/>
      <c r="N419" s="266"/>
    </row>
    <row r="420" spans="1:21" s="3" customFormat="1" ht="12.2" customHeight="1" thickTop="1" x14ac:dyDescent="0.15">
      <c r="A420" s="160" t="s">
        <v>471</v>
      </c>
      <c r="B420" s="6">
        <v>17</v>
      </c>
      <c r="C420" s="6">
        <v>7</v>
      </c>
      <c r="D420" s="2" t="s">
        <v>432</v>
      </c>
      <c r="E420" s="40">
        <v>5251</v>
      </c>
      <c r="F420" s="139">
        <f t="shared" ref="F420:L420" si="28">SUM(F414:F419)</f>
        <v>7939.73</v>
      </c>
      <c r="G420" s="139">
        <f t="shared" si="28"/>
        <v>1094.42</v>
      </c>
      <c r="H420" s="139">
        <f t="shared" si="28"/>
        <v>16796</v>
      </c>
      <c r="I420" s="139">
        <f t="shared" si="28"/>
        <v>29055.050000000003</v>
      </c>
      <c r="J420" s="139">
        <f t="shared" si="28"/>
        <v>0</v>
      </c>
      <c r="K420" s="139">
        <f t="shared" si="28"/>
        <v>0</v>
      </c>
      <c r="L420" s="47">
        <f t="shared" si="28"/>
        <v>54885.200000000004</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6"/>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6"/>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6"/>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7"/>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4"/>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6"/>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7939.73</v>
      </c>
      <c r="G435" s="47">
        <f t="shared" si="32"/>
        <v>1094.42</v>
      </c>
      <c r="H435" s="47">
        <f t="shared" si="32"/>
        <v>16796</v>
      </c>
      <c r="I435" s="47">
        <f t="shared" si="32"/>
        <v>29055.050000000003</v>
      </c>
      <c r="J435" s="47">
        <f t="shared" si="32"/>
        <v>0</v>
      </c>
      <c r="K435" s="47">
        <f t="shared" si="32"/>
        <v>0</v>
      </c>
      <c r="L435" s="47">
        <f t="shared" si="32"/>
        <v>54885.200000000004</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0</v>
      </c>
      <c r="G443" s="18">
        <v>0</v>
      </c>
      <c r="H443" s="18">
        <v>52093.15</v>
      </c>
      <c r="I443" s="56">
        <f t="shared" si="33"/>
        <v>52093.15</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52093.15</v>
      </c>
      <c r="I447" s="13">
        <f>SUM(I440:I446)</f>
        <v>52093.15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v>0</v>
      </c>
      <c r="H460" s="18">
        <v>52093.15</v>
      </c>
      <c r="I460" s="56">
        <f t="shared" si="34"/>
        <v>52093.15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52093.15</v>
      </c>
      <c r="I461" s="83">
        <f>SUM(I455:I460)</f>
        <v>52093.15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52093.15</v>
      </c>
      <c r="I462" s="42">
        <f>I453+I461</f>
        <v>52093.15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0</v>
      </c>
      <c r="G466" s="18">
        <v>64574.01</v>
      </c>
      <c r="H466" s="18">
        <v>126188.47</v>
      </c>
      <c r="I466" s="18">
        <v>1194027.8400000001</v>
      </c>
      <c r="J466" s="18">
        <v>47984.19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26025713.210000001</v>
      </c>
      <c r="G469" s="18">
        <v>720454.99</v>
      </c>
      <c r="H469" s="18">
        <v>1958208.94</v>
      </c>
      <c r="I469" s="18">
        <v>830615.3</v>
      </c>
      <c r="J469" s="18">
        <v>58994.16</v>
      </c>
      <c r="K469" s="24" t="s">
        <v>288</v>
      </c>
      <c r="L469" s="24" t="s">
        <v>288</v>
      </c>
      <c r="N469" s="265"/>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5"/>
    </row>
    <row r="471" spans="1:14" s="52" customFormat="1" ht="12.2" customHeight="1" x14ac:dyDescent="0.2">
      <c r="A471" s="92" t="s">
        <v>425</v>
      </c>
      <c r="B471" s="75">
        <v>19</v>
      </c>
      <c r="C471" s="80">
        <v>4</v>
      </c>
      <c r="D471" s="2" t="s">
        <v>432</v>
      </c>
      <c r="E471" s="80"/>
      <c r="F471" s="53">
        <f>SUM(F469:F470)</f>
        <v>26025713.210000001</v>
      </c>
      <c r="G471" s="53">
        <f>SUM(G469:G470)</f>
        <v>720454.99</v>
      </c>
      <c r="H471" s="53">
        <f>SUM(H469:H470)</f>
        <v>1958208.94</v>
      </c>
      <c r="I471" s="53">
        <f>SUM(I469:I470)</f>
        <v>830615.3</v>
      </c>
      <c r="J471" s="53">
        <f>SUM(J469:J470)</f>
        <v>58994.16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26025713.210000001</v>
      </c>
      <c r="G473" s="18">
        <v>707970.34</v>
      </c>
      <c r="H473" s="18">
        <v>1961420.01</v>
      </c>
      <c r="I473" s="18">
        <v>2094196.73</v>
      </c>
      <c r="J473" s="18">
        <v>54885.2</v>
      </c>
      <c r="K473" s="24" t="s">
        <v>288</v>
      </c>
      <c r="L473" s="24" t="s">
        <v>288</v>
      </c>
      <c r="N473" s="265"/>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5"/>
    </row>
    <row r="475" spans="1:14" s="52" customFormat="1" ht="12.2" customHeight="1" x14ac:dyDescent="0.2">
      <c r="A475" s="92" t="s">
        <v>426</v>
      </c>
      <c r="B475" s="75">
        <v>19</v>
      </c>
      <c r="C475" s="80">
        <v>7</v>
      </c>
      <c r="D475" s="2" t="s">
        <v>432</v>
      </c>
      <c r="E475" s="80"/>
      <c r="F475" s="53">
        <f>SUM(F473:F474)</f>
        <v>26025713.210000001</v>
      </c>
      <c r="G475" s="53">
        <f>SUM(G473:G474)</f>
        <v>707970.34</v>
      </c>
      <c r="H475" s="53">
        <f>SUM(H473:H474)</f>
        <v>1961420.01</v>
      </c>
      <c r="I475" s="53">
        <f>SUM(I473:I474)</f>
        <v>2094196.73</v>
      </c>
      <c r="J475" s="53">
        <f>SUM(J473:J474)</f>
        <v>54885.2</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0</v>
      </c>
      <c r="G477" s="53">
        <f>(G466+G471)- G475</f>
        <v>77058.660000000033</v>
      </c>
      <c r="H477" s="53">
        <f>(H466+H471)- H475</f>
        <v>122977.39999999991</v>
      </c>
      <c r="I477" s="53">
        <f>(I466+I471)- I475</f>
        <v>-69553.589999999851</v>
      </c>
      <c r="J477" s="53">
        <f>(J466+J471)- J475</f>
        <v>52093.150000000009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v>15</v>
      </c>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1644</v>
      </c>
      <c r="H492" s="154">
        <v>216</v>
      </c>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t="s">
        <v>1645</v>
      </c>
      <c r="H493" s="154">
        <v>831</v>
      </c>
      <c r="I493" s="154"/>
      <c r="J493" s="154"/>
      <c r="K493" s="24" t="s">
        <v>288</v>
      </c>
      <c r="L493" s="24" t="s">
        <v>288</v>
      </c>
      <c r="N493" s="265"/>
    </row>
    <row r="494" spans="1:14" s="52" customFormat="1" ht="12.2" customHeight="1" x14ac:dyDescent="0.2">
      <c r="A494" s="22" t="s">
        <v>617</v>
      </c>
      <c r="B494" s="75">
        <v>20</v>
      </c>
      <c r="C494" s="115">
        <v>4</v>
      </c>
      <c r="D494" s="2" t="s">
        <v>432</v>
      </c>
      <c r="E494" s="115"/>
      <c r="F494" s="18">
        <v>18953000</v>
      </c>
      <c r="G494" s="18">
        <v>1181700</v>
      </c>
      <c r="H494" s="18">
        <v>1453925</v>
      </c>
      <c r="I494" s="18">
        <v>1640000</v>
      </c>
      <c r="J494" s="18"/>
      <c r="K494" s="24" t="s">
        <v>288</v>
      </c>
      <c r="L494" s="24" t="s">
        <v>288</v>
      </c>
      <c r="N494" s="265"/>
    </row>
    <row r="495" spans="1:14" s="52" customFormat="1" ht="12.2" customHeight="1" x14ac:dyDescent="0.2">
      <c r="A495" s="22" t="s">
        <v>618</v>
      </c>
      <c r="B495" s="75">
        <v>20</v>
      </c>
      <c r="C495" s="115">
        <v>5</v>
      </c>
      <c r="D495" s="2" t="s">
        <v>432</v>
      </c>
      <c r="E495" s="115"/>
      <c r="F495" s="18">
        <v>3.73</v>
      </c>
      <c r="G495" s="18">
        <v>3.14</v>
      </c>
      <c r="H495" s="18">
        <v>2.16</v>
      </c>
      <c r="I495" s="18"/>
      <c r="J495" s="18"/>
      <c r="K495" s="24" t="s">
        <v>288</v>
      </c>
      <c r="L495" s="24" t="s">
        <v>288</v>
      </c>
      <c r="N495" s="265"/>
    </row>
    <row r="496" spans="1:14" s="52" customFormat="1" ht="12.2" customHeight="1" x14ac:dyDescent="0.2">
      <c r="A496" s="22" t="s">
        <v>619</v>
      </c>
      <c r="B496" s="75">
        <v>20</v>
      </c>
      <c r="C496" s="115">
        <v>6</v>
      </c>
      <c r="D496" s="2" t="s">
        <v>432</v>
      </c>
      <c r="E496" s="115"/>
      <c r="F496" s="18">
        <v>15409214</v>
      </c>
      <c r="G496" s="18">
        <v>765600</v>
      </c>
      <c r="H496" s="18">
        <v>1547210</v>
      </c>
      <c r="I496" s="18">
        <v>1483500</v>
      </c>
      <c r="J496" s="18"/>
      <c r="K496" s="53">
        <f>SUM(F496:J496)</f>
        <v>19205524</v>
      </c>
      <c r="L496" s="24" t="s">
        <v>288</v>
      </c>
      <c r="N496" s="265"/>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945130.48</v>
      </c>
      <c r="G498" s="18">
        <v>81850</v>
      </c>
      <c r="H498" s="18">
        <v>100000</v>
      </c>
      <c r="I498" s="18">
        <v>98500</v>
      </c>
      <c r="J498" s="18"/>
      <c r="K498" s="53">
        <f t="shared" si="35"/>
        <v>1225480.48</v>
      </c>
      <c r="L498" s="24" t="s">
        <v>288</v>
      </c>
      <c r="N498" s="265"/>
    </row>
    <row r="499" spans="1:14" s="52" customFormat="1" ht="12.2" customHeight="1" x14ac:dyDescent="0.2">
      <c r="A499" s="200" t="s">
        <v>622</v>
      </c>
      <c r="B499" s="201">
        <v>20</v>
      </c>
      <c r="C499" s="202">
        <v>9</v>
      </c>
      <c r="D499" s="203" t="s">
        <v>432</v>
      </c>
      <c r="E499" s="202"/>
      <c r="F499" s="204">
        <f>904771.77+871417.79+824851.4+796394.73+764626.95+732712.89+700777.91+642261.07+613629.61+587494.98</f>
        <v>7438939.0999999996</v>
      </c>
      <c r="G499" s="204">
        <v>725000</v>
      </c>
      <c r="H499" s="204">
        <v>1155000</v>
      </c>
      <c r="I499" s="204">
        <v>1385000</v>
      </c>
      <c r="J499" s="204"/>
      <c r="K499" s="205">
        <f t="shared" si="35"/>
        <v>10703939.1</v>
      </c>
      <c r="L499" s="206" t="s">
        <v>288</v>
      </c>
      <c r="N499" s="265"/>
    </row>
    <row r="500" spans="1:14" s="52" customFormat="1" ht="12.2" customHeight="1" thickBot="1" x14ac:dyDescent="0.25">
      <c r="A500" s="22" t="s">
        <v>623</v>
      </c>
      <c r="B500" s="75">
        <v>20</v>
      </c>
      <c r="C500" s="115">
        <v>10</v>
      </c>
      <c r="D500" s="2" t="s">
        <v>432</v>
      </c>
      <c r="E500" s="115"/>
      <c r="F500" s="18">
        <f>493438.73+533580.21+562146.6+601103.27+635371.05+667037.11+695972.09+753738.93+781370.39+847705.02</f>
        <v>6571463.4000000004</v>
      </c>
      <c r="G500" s="18">
        <v>150305.26999999999</v>
      </c>
      <c r="H500" s="18">
        <v>244450.72</v>
      </c>
      <c r="I500" s="18">
        <v>426323.88</v>
      </c>
      <c r="J500" s="18"/>
      <c r="K500" s="53">
        <f t="shared" si="35"/>
        <v>7392543.2699999996</v>
      </c>
      <c r="L500" s="24" t="s">
        <v>288</v>
      </c>
      <c r="N500" s="265"/>
    </row>
    <row r="501" spans="1:14" s="52" customFormat="1" ht="12.2" customHeight="1" thickTop="1" x14ac:dyDescent="0.2">
      <c r="A501" s="139" t="s">
        <v>624</v>
      </c>
      <c r="B501" s="44">
        <v>20</v>
      </c>
      <c r="C501" s="195">
        <v>11</v>
      </c>
      <c r="D501" s="39" t="s">
        <v>432</v>
      </c>
      <c r="E501" s="195"/>
      <c r="F501" s="42">
        <f>SUM(F499:F500)</f>
        <v>14010402.5</v>
      </c>
      <c r="G501" s="42">
        <f>SUM(G499:G500)</f>
        <v>875305.27</v>
      </c>
      <c r="H501" s="42">
        <f>SUM(H499:H500)</f>
        <v>1399450.72</v>
      </c>
      <c r="I501" s="42">
        <f>SUM(I499:I500)</f>
        <v>1811323.88</v>
      </c>
      <c r="J501" s="42">
        <f>SUM(J499:J500)</f>
        <v>0</v>
      </c>
      <c r="K501" s="42">
        <f t="shared" si="35"/>
        <v>18096482.370000001</v>
      </c>
      <c r="L501" s="45" t="s">
        <v>288</v>
      </c>
      <c r="N501" s="265"/>
    </row>
    <row r="502" spans="1:14" s="52" customFormat="1" ht="12.2" customHeight="1" x14ac:dyDescent="0.2">
      <c r="A502" s="200" t="s">
        <v>651</v>
      </c>
      <c r="B502" s="201">
        <v>20</v>
      </c>
      <c r="C502" s="202">
        <v>12</v>
      </c>
      <c r="D502" s="203" t="s">
        <v>432</v>
      </c>
      <c r="E502" s="202"/>
      <c r="F502" s="204">
        <v>904771.77</v>
      </c>
      <c r="G502" s="204">
        <v>81850</v>
      </c>
      <c r="H502" s="204">
        <v>100000</v>
      </c>
      <c r="I502" s="204">
        <v>100000</v>
      </c>
      <c r="J502" s="204"/>
      <c r="K502" s="205">
        <f t="shared" si="35"/>
        <v>1186621.77</v>
      </c>
      <c r="L502" s="206" t="s">
        <v>288</v>
      </c>
      <c r="N502" s="265"/>
    </row>
    <row r="503" spans="1:14" s="52" customFormat="1" ht="12.2" customHeight="1" thickBot="1" x14ac:dyDescent="0.25">
      <c r="A503" s="22" t="s">
        <v>625</v>
      </c>
      <c r="B503" s="75">
        <v>20</v>
      </c>
      <c r="C503" s="115">
        <v>13</v>
      </c>
      <c r="D503" s="2" t="s">
        <v>432</v>
      </c>
      <c r="E503" s="115"/>
      <c r="F503" s="18">
        <v>493438.73</v>
      </c>
      <c r="G503" s="18">
        <v>32281.759999999998</v>
      </c>
      <c r="H503" s="18">
        <v>43239.76</v>
      </c>
      <c r="I503" s="18">
        <v>62291.26</v>
      </c>
      <c r="J503" s="18"/>
      <c r="K503" s="53">
        <f t="shared" si="35"/>
        <v>631251.51</v>
      </c>
      <c r="L503" s="24" t="s">
        <v>288</v>
      </c>
      <c r="N503" s="265"/>
    </row>
    <row r="504" spans="1:14" s="52" customFormat="1" ht="12.2" customHeight="1" thickTop="1" x14ac:dyDescent="0.2">
      <c r="A504" s="139" t="s">
        <v>626</v>
      </c>
      <c r="B504" s="44">
        <v>20</v>
      </c>
      <c r="C504" s="195">
        <v>14</v>
      </c>
      <c r="D504" s="39" t="s">
        <v>432</v>
      </c>
      <c r="E504" s="195"/>
      <c r="F504" s="42">
        <f>SUM(F502:F503)</f>
        <v>1398210.5</v>
      </c>
      <c r="G504" s="42">
        <f>SUM(G502:G503)</f>
        <v>114131.76</v>
      </c>
      <c r="H504" s="42">
        <f>SUM(H502:H503)</f>
        <v>143239.76</v>
      </c>
      <c r="I504" s="42">
        <f>SUM(I502:I503)</f>
        <v>162291.26</v>
      </c>
      <c r="J504" s="42">
        <f>SUM(J502:J503)</f>
        <v>0</v>
      </c>
      <c r="K504" s="42">
        <f t="shared" si="35"/>
        <v>1817873.28</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1253110.6500000001</v>
      </c>
      <c r="G522" s="18">
        <v>761755.94</v>
      </c>
      <c r="H522" s="18">
        <v>643438</v>
      </c>
      <c r="I522" s="18">
        <v>4375.3999999999996</v>
      </c>
      <c r="J522" s="18">
        <v>7999</v>
      </c>
      <c r="K522" s="18">
        <v>0</v>
      </c>
      <c r="L522" s="88">
        <f>SUM(F522:K522)</f>
        <v>2670678.9899999998</v>
      </c>
      <c r="N522" s="265"/>
    </row>
    <row r="523" spans="1:14" s="52" customFormat="1" ht="12.2" customHeight="1" x14ac:dyDescent="0.2">
      <c r="A523" s="22" t="s">
        <v>634</v>
      </c>
      <c r="B523" s="105">
        <v>21</v>
      </c>
      <c r="C523" s="115">
        <v>2</v>
      </c>
      <c r="D523" s="2" t="s">
        <v>432</v>
      </c>
      <c r="E523" s="115"/>
      <c r="F523" s="18">
        <f>459987+51985</f>
        <v>511972</v>
      </c>
      <c r="G523" s="18">
        <f>335314+31103</f>
        <v>366417</v>
      </c>
      <c r="H523" s="18">
        <f>433641-240.5</f>
        <v>433400.5</v>
      </c>
      <c r="I523" s="18">
        <f>416+220</f>
        <v>636</v>
      </c>
      <c r="J523" s="18">
        <v>0</v>
      </c>
      <c r="K523" s="18">
        <v>0</v>
      </c>
      <c r="L523" s="88">
        <f>SUM(F523:K523)</f>
        <v>1312425.5</v>
      </c>
      <c r="N523" s="265"/>
    </row>
    <row r="524" spans="1:14" s="52" customFormat="1" ht="12.2" customHeight="1" thickBot="1" x14ac:dyDescent="0.25">
      <c r="A524" s="22" t="s">
        <v>635</v>
      </c>
      <c r="B524" s="105">
        <v>21</v>
      </c>
      <c r="C524" s="115">
        <v>3</v>
      </c>
      <c r="D524" s="2" t="s">
        <v>432</v>
      </c>
      <c r="E524" s="115"/>
      <c r="F524" s="18">
        <v>772643</v>
      </c>
      <c r="G524" s="18">
        <f>436947+74</f>
        <v>437021</v>
      </c>
      <c r="H524" s="18">
        <v>693244</v>
      </c>
      <c r="I524" s="18">
        <v>2393</v>
      </c>
      <c r="J524" s="18">
        <v>0</v>
      </c>
      <c r="K524" s="18">
        <v>0</v>
      </c>
      <c r="L524" s="88">
        <f>SUM(F524:K524)</f>
        <v>1905301</v>
      </c>
      <c r="N524" s="265"/>
    </row>
    <row r="525" spans="1:14" s="52" customFormat="1" ht="12.2" customHeight="1" thickTop="1" x14ac:dyDescent="0.2">
      <c r="A525" s="139" t="s">
        <v>63</v>
      </c>
      <c r="B525" s="107">
        <v>21</v>
      </c>
      <c r="C525" s="195">
        <v>4</v>
      </c>
      <c r="D525" s="196" t="s">
        <v>432</v>
      </c>
      <c r="E525" s="195"/>
      <c r="F525" s="108">
        <f>SUM(F522:F524)</f>
        <v>2537725.6500000004</v>
      </c>
      <c r="G525" s="108">
        <f t="shared" ref="G525:L525" si="36">SUM(G522:G524)</f>
        <v>1565193.94</v>
      </c>
      <c r="H525" s="108">
        <f t="shared" si="36"/>
        <v>1770082.5</v>
      </c>
      <c r="I525" s="108">
        <f t="shared" si="36"/>
        <v>7404.4</v>
      </c>
      <c r="J525" s="108">
        <f t="shared" si="36"/>
        <v>7999</v>
      </c>
      <c r="K525" s="108">
        <f t="shared" si="36"/>
        <v>0</v>
      </c>
      <c r="L525" s="89">
        <f t="shared" si="36"/>
        <v>5888405.4900000002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206688.45345794392</v>
      </c>
      <c r="G527" s="18">
        <v>77442.508130841132</v>
      </c>
      <c r="H527" s="18">
        <v>289368.03000000003</v>
      </c>
      <c r="I527" s="18">
        <v>5073.079252336448</v>
      </c>
      <c r="J527" s="18">
        <v>0</v>
      </c>
      <c r="K527" s="18">
        <v>4889.2700000000004</v>
      </c>
      <c r="L527" s="88">
        <f>SUM(F527:K527)</f>
        <v>583461.34084112151</v>
      </c>
      <c r="M527" s="8"/>
      <c r="N527" s="266"/>
    </row>
    <row r="528" spans="1:14" s="3" customFormat="1" ht="12.2" customHeight="1" x14ac:dyDescent="0.15">
      <c r="A528" s="22" t="s">
        <v>634</v>
      </c>
      <c r="B528" s="105">
        <v>21</v>
      </c>
      <c r="C528" s="115">
        <v>6</v>
      </c>
      <c r="D528" s="2" t="s">
        <v>432</v>
      </c>
      <c r="E528" s="115"/>
      <c r="F528" s="18">
        <v>126706.69813084112</v>
      </c>
      <c r="G528" s="18">
        <v>68553.07803738318</v>
      </c>
      <c r="H528" s="18">
        <f>4482+53305</f>
        <v>57787</v>
      </c>
      <c r="I528" s="18">
        <v>2166.7112149532709</v>
      </c>
      <c r="J528" s="18">
        <v>0</v>
      </c>
      <c r="K528" s="18">
        <v>2323.41</v>
      </c>
      <c r="L528" s="88">
        <f>SUM(F528:K528)</f>
        <v>257536.89738317757</v>
      </c>
      <c r="M528" s="8"/>
      <c r="N528" s="266"/>
    </row>
    <row r="529" spans="1:14" s="3" customFormat="1" ht="12.2" customHeight="1" thickBot="1" x14ac:dyDescent="0.2">
      <c r="A529" s="22" t="s">
        <v>635</v>
      </c>
      <c r="B529" s="118">
        <v>21</v>
      </c>
      <c r="C529" s="118">
        <v>7</v>
      </c>
      <c r="D529" s="2" t="s">
        <v>432</v>
      </c>
      <c r="E529" s="118"/>
      <c r="F529" s="18">
        <v>38270.828411214949</v>
      </c>
      <c r="G529" s="18">
        <v>8018.2438317757005</v>
      </c>
      <c r="H529" s="18">
        <f>5548+65974.01</f>
        <v>71522.009999999995</v>
      </c>
      <c r="I529" s="18">
        <v>2637.92953271028</v>
      </c>
      <c r="J529" s="18">
        <v>0</v>
      </c>
      <c r="K529" s="18">
        <v>2875.64</v>
      </c>
      <c r="L529" s="88">
        <f>SUM(F529:K529)</f>
        <v>123324.65177570091</v>
      </c>
      <c r="M529" s="8"/>
      <c r="N529" s="266"/>
    </row>
    <row r="530" spans="1:14" s="3" customFormat="1" ht="12.2" customHeight="1" thickTop="1" x14ac:dyDescent="0.15">
      <c r="A530" s="139" t="s">
        <v>65</v>
      </c>
      <c r="B530" s="107">
        <v>21</v>
      </c>
      <c r="C530" s="107">
        <v>8</v>
      </c>
      <c r="D530" s="158" t="s">
        <v>432</v>
      </c>
      <c r="E530" s="107"/>
      <c r="F530" s="89">
        <f>SUM(F527:F529)</f>
        <v>371665.98</v>
      </c>
      <c r="G530" s="89">
        <f t="shared" ref="G530:L530" si="37">SUM(G527:G529)</f>
        <v>154013.83000000002</v>
      </c>
      <c r="H530" s="89">
        <f t="shared" si="37"/>
        <v>418677.04000000004</v>
      </c>
      <c r="I530" s="89">
        <f t="shared" si="37"/>
        <v>9877.7199999999975</v>
      </c>
      <c r="J530" s="89">
        <f t="shared" si="37"/>
        <v>0</v>
      </c>
      <c r="K530" s="89">
        <f t="shared" si="37"/>
        <v>10088.32</v>
      </c>
      <c r="L530" s="89">
        <f t="shared" si="37"/>
        <v>964322.8899999999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75095.485349198934</v>
      </c>
      <c r="G532" s="18">
        <v>41961.900448197601</v>
      </c>
      <c r="H532" s="18">
        <v>0</v>
      </c>
      <c r="I532" s="18">
        <v>0</v>
      </c>
      <c r="J532" s="18">
        <v>0</v>
      </c>
      <c r="K532" s="18">
        <v>0</v>
      </c>
      <c r="L532" s="88">
        <f>SUM(F532:K532)</f>
        <v>117057.38579739654</v>
      </c>
      <c r="M532" s="8"/>
      <c r="N532" s="266"/>
    </row>
    <row r="533" spans="1:14" s="3" customFormat="1" ht="12.2" customHeight="1" x14ac:dyDescent="0.15">
      <c r="A533" s="22" t="s">
        <v>634</v>
      </c>
      <c r="B533" s="105">
        <v>21</v>
      </c>
      <c r="C533" s="105">
        <v>10</v>
      </c>
      <c r="D533" s="2" t="s">
        <v>432</v>
      </c>
      <c r="E533" s="105"/>
      <c r="F533" s="18">
        <v>35685.871137016031</v>
      </c>
      <c r="G533" s="18">
        <v>19940.572527036049</v>
      </c>
      <c r="H533" s="18">
        <v>0</v>
      </c>
      <c r="I533" s="18">
        <v>0</v>
      </c>
      <c r="J533" s="18">
        <v>0</v>
      </c>
      <c r="K533" s="18">
        <v>0</v>
      </c>
      <c r="L533" s="88">
        <f>SUM(F533:K533)</f>
        <v>55626.44366405208</v>
      </c>
      <c r="M533" s="8"/>
      <c r="N533" s="266"/>
    </row>
    <row r="534" spans="1:14" s="3" customFormat="1" ht="12.2" customHeight="1" thickBot="1" x14ac:dyDescent="0.2">
      <c r="A534" s="22" t="s">
        <v>635</v>
      </c>
      <c r="B534" s="105">
        <v>21</v>
      </c>
      <c r="C534" s="105">
        <v>11</v>
      </c>
      <c r="D534" s="2" t="s">
        <v>432</v>
      </c>
      <c r="E534" s="105"/>
      <c r="F534" s="18">
        <v>44167.730363785049</v>
      </c>
      <c r="G534" s="18">
        <v>24680.070924766354</v>
      </c>
      <c r="H534" s="18">
        <v>0</v>
      </c>
      <c r="I534" s="18">
        <v>0</v>
      </c>
      <c r="J534" s="18">
        <v>0</v>
      </c>
      <c r="K534" s="18">
        <v>0</v>
      </c>
      <c r="L534" s="88">
        <f>SUM(F534:K534)</f>
        <v>68847.801288551404</v>
      </c>
      <c r="M534" s="8"/>
      <c r="N534" s="266"/>
    </row>
    <row r="535" spans="1:14" s="3" customFormat="1" ht="12.2" customHeight="1" thickTop="1" x14ac:dyDescent="0.15">
      <c r="A535" s="139" t="s">
        <v>67</v>
      </c>
      <c r="B535" s="107">
        <v>21</v>
      </c>
      <c r="C535" s="107">
        <v>12</v>
      </c>
      <c r="D535" s="158" t="s">
        <v>432</v>
      </c>
      <c r="E535" s="107"/>
      <c r="F535" s="89">
        <f>SUM(F532:F534)</f>
        <v>154949.08685000002</v>
      </c>
      <c r="G535" s="89">
        <f t="shared" ref="G535:L535" si="38">SUM(G532:G534)</f>
        <v>86582.543900000004</v>
      </c>
      <c r="H535" s="89">
        <f t="shared" si="38"/>
        <v>0</v>
      </c>
      <c r="I535" s="89">
        <f t="shared" si="38"/>
        <v>0</v>
      </c>
      <c r="J535" s="89">
        <f t="shared" si="38"/>
        <v>0</v>
      </c>
      <c r="K535" s="89">
        <f t="shared" si="38"/>
        <v>0</v>
      </c>
      <c r="L535" s="89">
        <f t="shared" si="38"/>
        <v>241531.63075000001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251538.92</v>
      </c>
      <c r="I542" s="18">
        <v>0</v>
      </c>
      <c r="J542" s="18">
        <v>0</v>
      </c>
      <c r="K542" s="18">
        <v>0</v>
      </c>
      <c r="L542" s="88">
        <f>SUM(F542:K542)</f>
        <v>251538.92</v>
      </c>
      <c r="M542" s="8"/>
      <c r="N542" s="266"/>
    </row>
    <row r="543" spans="1:14" s="3" customFormat="1" ht="12.2" customHeight="1" x14ac:dyDescent="0.15">
      <c r="A543" s="22" t="s">
        <v>634</v>
      </c>
      <c r="B543" s="105">
        <v>21</v>
      </c>
      <c r="C543" s="105">
        <v>18</v>
      </c>
      <c r="D543" s="2" t="s">
        <v>432</v>
      </c>
      <c r="E543" s="105"/>
      <c r="F543" s="18">
        <v>0</v>
      </c>
      <c r="G543" s="18">
        <v>0</v>
      </c>
      <c r="H543" s="18">
        <v>119532.96</v>
      </c>
      <c r="I543" s="18">
        <v>0</v>
      </c>
      <c r="J543" s="18">
        <v>0</v>
      </c>
      <c r="K543" s="18">
        <v>0</v>
      </c>
      <c r="L543" s="88">
        <f>SUM(F543:K543)</f>
        <v>119532.96</v>
      </c>
      <c r="M543" s="8"/>
      <c r="N543" s="266"/>
    </row>
    <row r="544" spans="1:14" s="3" customFormat="1" ht="12.2" customHeight="1" thickBot="1" x14ac:dyDescent="0.2">
      <c r="A544" s="22" t="s">
        <v>635</v>
      </c>
      <c r="B544" s="105">
        <v>21</v>
      </c>
      <c r="C544" s="105">
        <v>19</v>
      </c>
      <c r="D544" s="2" t="s">
        <v>432</v>
      </c>
      <c r="E544" s="105"/>
      <c r="F544" s="18">
        <v>0</v>
      </c>
      <c r="G544" s="18">
        <v>0</v>
      </c>
      <c r="H544" s="18">
        <v>147943.69</v>
      </c>
      <c r="I544" s="18">
        <v>0</v>
      </c>
      <c r="J544" s="18">
        <v>0</v>
      </c>
      <c r="K544" s="18">
        <v>0</v>
      </c>
      <c r="L544" s="88">
        <f>SUM(F544:K544)</f>
        <v>147943.69</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519015.57</v>
      </c>
      <c r="I545" s="193">
        <f t="shared" si="40"/>
        <v>0</v>
      </c>
      <c r="J545" s="193">
        <f t="shared" si="40"/>
        <v>0</v>
      </c>
      <c r="K545" s="193">
        <f t="shared" si="40"/>
        <v>0</v>
      </c>
      <c r="L545" s="193">
        <f t="shared" si="40"/>
        <v>519015.57</v>
      </c>
      <c r="M545" s="8"/>
      <c r="N545" s="266"/>
    </row>
    <row r="546" spans="1:14" s="3" customFormat="1" ht="12.2" customHeight="1" thickTop="1" x14ac:dyDescent="0.15">
      <c r="A546" s="98" t="s">
        <v>72</v>
      </c>
      <c r="B546" s="107">
        <v>21</v>
      </c>
      <c r="C546" s="107">
        <v>21</v>
      </c>
      <c r="D546" s="158" t="s">
        <v>432</v>
      </c>
      <c r="E546" s="107"/>
      <c r="F546" s="89">
        <f>F525+F530+F535+F540+F545</f>
        <v>3064340.7168500004</v>
      </c>
      <c r="G546" s="89">
        <f t="shared" ref="G546:L546" si="41">G525+G530+G535+G540+G545</f>
        <v>1805790.3139</v>
      </c>
      <c r="H546" s="89">
        <f t="shared" si="41"/>
        <v>2707775.11</v>
      </c>
      <c r="I546" s="89">
        <f t="shared" si="41"/>
        <v>17282.119999999995</v>
      </c>
      <c r="J546" s="89">
        <f t="shared" si="41"/>
        <v>7999</v>
      </c>
      <c r="K546" s="89">
        <f t="shared" si="41"/>
        <v>10088.32</v>
      </c>
      <c r="L546" s="89">
        <f t="shared" si="41"/>
        <v>7613275.5807499997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2670678.9899999998</v>
      </c>
      <c r="G550" s="87">
        <f>L527</f>
        <v>583461.34084112151</v>
      </c>
      <c r="H550" s="87">
        <f>L532</f>
        <v>117057.38579739654</v>
      </c>
      <c r="I550" s="87">
        <f>L537</f>
        <v>0</v>
      </c>
      <c r="J550" s="87">
        <f>L542</f>
        <v>251538.92</v>
      </c>
      <c r="K550" s="87">
        <f>SUM(F550:J550)</f>
        <v>3622736.6366385175</v>
      </c>
      <c r="L550" s="24" t="s">
        <v>288</v>
      </c>
      <c r="M550" s="8"/>
      <c r="N550" s="266"/>
    </row>
    <row r="551" spans="1:14" s="3" customFormat="1" ht="12.2" customHeight="1" x14ac:dyDescent="0.15">
      <c r="A551" s="22" t="s">
        <v>634</v>
      </c>
      <c r="B551" s="75">
        <v>21</v>
      </c>
      <c r="C551" s="75">
        <v>23</v>
      </c>
      <c r="D551" s="2" t="s">
        <v>432</v>
      </c>
      <c r="E551" s="75"/>
      <c r="F551" s="87">
        <f>L523</f>
        <v>1312425.5</v>
      </c>
      <c r="G551" s="87">
        <f>L528</f>
        <v>257536.89738317757</v>
      </c>
      <c r="H551" s="87">
        <f>L533</f>
        <v>55626.44366405208</v>
      </c>
      <c r="I551" s="87">
        <f>L538</f>
        <v>0</v>
      </c>
      <c r="J551" s="87">
        <f>L543</f>
        <v>119532.96</v>
      </c>
      <c r="K551" s="87">
        <f>SUM(F551:J551)</f>
        <v>1745121.8010472297</v>
      </c>
      <c r="L551" s="24" t="s">
        <v>288</v>
      </c>
      <c r="M551" s="8"/>
      <c r="N551" s="266"/>
    </row>
    <row r="552" spans="1:14" s="3" customFormat="1" ht="12.2" customHeight="1" thickBot="1" x14ac:dyDescent="0.2">
      <c r="A552" s="22" t="s">
        <v>635</v>
      </c>
      <c r="B552" s="75">
        <v>21</v>
      </c>
      <c r="C552" s="75">
        <v>24</v>
      </c>
      <c r="D552" s="2" t="s">
        <v>432</v>
      </c>
      <c r="E552" s="75"/>
      <c r="F552" s="87">
        <f>L524</f>
        <v>1905301</v>
      </c>
      <c r="G552" s="87">
        <f>L529</f>
        <v>123324.65177570091</v>
      </c>
      <c r="H552" s="87">
        <f>L534</f>
        <v>68847.801288551404</v>
      </c>
      <c r="I552" s="87">
        <f>L539</f>
        <v>0</v>
      </c>
      <c r="J552" s="87">
        <f>L544</f>
        <v>147943.69</v>
      </c>
      <c r="K552" s="87">
        <f>SUM(F552:J552)</f>
        <v>2245417.1430642521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5888405.4900000002</v>
      </c>
      <c r="G553" s="89">
        <f t="shared" si="42"/>
        <v>964322.8899999999</v>
      </c>
      <c r="H553" s="89">
        <f t="shared" si="42"/>
        <v>241531.63075000001</v>
      </c>
      <c r="I553" s="89">
        <f t="shared" si="42"/>
        <v>0</v>
      </c>
      <c r="J553" s="89">
        <f t="shared" si="42"/>
        <v>519015.57</v>
      </c>
      <c r="K553" s="89">
        <f t="shared" si="42"/>
        <v>7613275.5807499988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1049264</v>
      </c>
      <c r="G558" s="18">
        <v>658491</v>
      </c>
      <c r="H558" s="18">
        <v>639688</v>
      </c>
      <c r="I558" s="18">
        <v>3804</v>
      </c>
      <c r="J558" s="18">
        <v>0</v>
      </c>
      <c r="K558" s="18">
        <v>0</v>
      </c>
      <c r="L558" s="88">
        <f>SUM(F558:K558)</f>
        <v>2351247</v>
      </c>
      <c r="M558" s="8"/>
      <c r="N558" s="266"/>
    </row>
    <row r="559" spans="1:14" s="3" customFormat="1" ht="12.2" customHeight="1" x14ac:dyDescent="0.15">
      <c r="A559" s="22" t="s">
        <v>634</v>
      </c>
      <c r="B559" s="105">
        <v>22</v>
      </c>
      <c r="C559" s="115">
        <v>2</v>
      </c>
      <c r="D559" s="2" t="s">
        <v>432</v>
      </c>
      <c r="E559" s="115"/>
      <c r="F559" s="18">
        <v>459987</v>
      </c>
      <c r="G559" s="18">
        <v>335314</v>
      </c>
      <c r="H559" s="18">
        <v>433641</v>
      </c>
      <c r="I559" s="18">
        <v>416</v>
      </c>
      <c r="J559" s="18">
        <v>0</v>
      </c>
      <c r="K559" s="18">
        <v>0</v>
      </c>
      <c r="L559" s="88">
        <f>SUM(F559:K559)</f>
        <v>1229358</v>
      </c>
      <c r="M559" s="8"/>
      <c r="N559" s="266"/>
    </row>
    <row r="560" spans="1:14" s="3" customFormat="1" ht="12.2" customHeight="1" thickBot="1" x14ac:dyDescent="0.2">
      <c r="A560" s="22" t="s">
        <v>635</v>
      </c>
      <c r="B560" s="105">
        <v>22</v>
      </c>
      <c r="C560" s="115">
        <v>3</v>
      </c>
      <c r="D560" s="2" t="s">
        <v>432</v>
      </c>
      <c r="E560" s="115"/>
      <c r="F560" s="18">
        <v>772643</v>
      </c>
      <c r="G560" s="18">
        <v>436947</v>
      </c>
      <c r="H560" s="18">
        <v>693244</v>
      </c>
      <c r="I560" s="18">
        <v>2393</v>
      </c>
      <c r="J560" s="18">
        <v>0</v>
      </c>
      <c r="K560" s="18">
        <v>0</v>
      </c>
      <c r="L560" s="88">
        <f>SUM(F560:K560)</f>
        <v>1905227</v>
      </c>
      <c r="M560" s="8"/>
      <c r="N560" s="266"/>
    </row>
    <row r="561" spans="1:14" s="3" customFormat="1" ht="12.2" customHeight="1" thickTop="1" x14ac:dyDescent="0.15">
      <c r="A561" s="139" t="s">
        <v>63</v>
      </c>
      <c r="B561" s="107">
        <v>22</v>
      </c>
      <c r="C561" s="195">
        <v>4</v>
      </c>
      <c r="D561" s="196" t="s">
        <v>432</v>
      </c>
      <c r="E561" s="195"/>
      <c r="F561" s="108">
        <f t="shared" ref="F561:L561" si="43">SUM(F558:F560)</f>
        <v>2281894</v>
      </c>
      <c r="G561" s="108">
        <f t="shared" si="43"/>
        <v>1430752</v>
      </c>
      <c r="H561" s="108">
        <f t="shared" si="43"/>
        <v>1766573</v>
      </c>
      <c r="I561" s="108">
        <f t="shared" si="43"/>
        <v>6613</v>
      </c>
      <c r="J561" s="108">
        <f t="shared" si="43"/>
        <v>0</v>
      </c>
      <c r="K561" s="108">
        <f t="shared" si="43"/>
        <v>0</v>
      </c>
      <c r="L561" s="89">
        <f t="shared" si="43"/>
        <v>5485832</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100827</v>
      </c>
      <c r="G563" s="18">
        <v>57014</v>
      </c>
      <c r="H563" s="18">
        <v>0</v>
      </c>
      <c r="I563" s="18">
        <v>211</v>
      </c>
      <c r="J563" s="18">
        <v>0</v>
      </c>
      <c r="K563" s="18">
        <v>0</v>
      </c>
      <c r="L563" s="88">
        <f>SUM(F563:K563)</f>
        <v>158052</v>
      </c>
      <c r="M563" s="8"/>
      <c r="N563" s="266"/>
    </row>
    <row r="564" spans="1:14" s="3" customFormat="1" ht="12.2" customHeight="1" x14ac:dyDescent="0.15">
      <c r="A564" s="22" t="s">
        <v>634</v>
      </c>
      <c r="B564" s="105">
        <v>22</v>
      </c>
      <c r="C564" s="115">
        <v>6</v>
      </c>
      <c r="D564" s="2" t="s">
        <v>432</v>
      </c>
      <c r="E564" s="115"/>
      <c r="F564" s="18">
        <v>51985</v>
      </c>
      <c r="G564" s="18">
        <v>31103</v>
      </c>
      <c r="H564" s="18">
        <v>0</v>
      </c>
      <c r="I564" s="18">
        <v>0</v>
      </c>
      <c r="J564" s="18">
        <v>0</v>
      </c>
      <c r="K564" s="18">
        <v>0</v>
      </c>
      <c r="L564" s="88">
        <f>SUM(F564:K564)</f>
        <v>83088</v>
      </c>
      <c r="M564" s="8"/>
      <c r="N564" s="266"/>
    </row>
    <row r="565" spans="1:14" s="3" customFormat="1" ht="12.2" customHeight="1" thickBot="1" x14ac:dyDescent="0.2">
      <c r="A565" s="22" t="s">
        <v>635</v>
      </c>
      <c r="B565" s="105">
        <v>22</v>
      </c>
      <c r="C565" s="118">
        <v>7</v>
      </c>
      <c r="D565" s="2" t="s">
        <v>432</v>
      </c>
      <c r="E565" s="118"/>
      <c r="F565" s="18">
        <v>0</v>
      </c>
      <c r="G565" s="18">
        <v>74</v>
      </c>
      <c r="H565" s="18">
        <v>0</v>
      </c>
      <c r="I565" s="18">
        <v>0</v>
      </c>
      <c r="J565" s="18">
        <v>0</v>
      </c>
      <c r="K565" s="18">
        <v>0</v>
      </c>
      <c r="L565" s="88">
        <f>SUM(F565:K565)</f>
        <v>74</v>
      </c>
      <c r="M565" s="8"/>
      <c r="N565" s="266"/>
    </row>
    <row r="566" spans="1:14" s="3" customFormat="1" ht="12.2" customHeight="1" thickTop="1" x14ac:dyDescent="0.15">
      <c r="A566" s="139" t="s">
        <v>65</v>
      </c>
      <c r="B566" s="107">
        <v>22</v>
      </c>
      <c r="C566" s="107">
        <v>8</v>
      </c>
      <c r="D566" s="196" t="s">
        <v>432</v>
      </c>
      <c r="E566" s="107"/>
      <c r="F566" s="89">
        <f t="shared" ref="F566:L566" si="44">SUM(F563:F565)</f>
        <v>152812</v>
      </c>
      <c r="G566" s="89">
        <f t="shared" si="44"/>
        <v>88191</v>
      </c>
      <c r="H566" s="89">
        <f t="shared" si="44"/>
        <v>0</v>
      </c>
      <c r="I566" s="89">
        <f t="shared" si="44"/>
        <v>211</v>
      </c>
      <c r="J566" s="89">
        <f t="shared" si="44"/>
        <v>0</v>
      </c>
      <c r="K566" s="89">
        <f t="shared" si="44"/>
        <v>0</v>
      </c>
      <c r="L566" s="89">
        <f t="shared" si="44"/>
        <v>241214</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2434706</v>
      </c>
      <c r="G572" s="89">
        <f t="shared" ref="G572:L572" si="46">G561+G566+G571</f>
        <v>1518943</v>
      </c>
      <c r="H572" s="89">
        <f t="shared" si="46"/>
        <v>1766573</v>
      </c>
      <c r="I572" s="89">
        <f t="shared" si="46"/>
        <v>6824</v>
      </c>
      <c r="J572" s="89">
        <f t="shared" si="46"/>
        <v>0</v>
      </c>
      <c r="K572" s="89">
        <f t="shared" si="46"/>
        <v>0</v>
      </c>
      <c r="L572" s="89">
        <f t="shared" si="46"/>
        <v>5727046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0</v>
      </c>
      <c r="H576" s="18">
        <v>16792</v>
      </c>
      <c r="I576" s="87">
        <f>SUM(F576:H576)</f>
        <v>16792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371392.41+148715.42</f>
        <v>520107.82999999996</v>
      </c>
      <c r="G583" s="18">
        <v>366049.66</v>
      </c>
      <c r="H583" s="18">
        <v>613720.15</v>
      </c>
      <c r="I583" s="87">
        <f t="shared" si="47"/>
        <v>1499877.6400000001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12168.96</v>
      </c>
      <c r="I585" s="87">
        <f t="shared" si="47"/>
        <v>12168.96</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197874.59044058743</v>
      </c>
      <c r="I592" s="18">
        <v>94031.328391188246</v>
      </c>
      <c r="J592" s="18">
        <v>116380.79116822428</v>
      </c>
      <c r="K592" s="104">
        <f t="shared" ref="K592:K598" si="48">SUM(H592:J592)</f>
        <v>408286.70999999996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251538.91626168223</v>
      </c>
      <c r="I593" s="18">
        <v>119532.95607476636</v>
      </c>
      <c r="J593" s="18">
        <v>147943.68766355139</v>
      </c>
      <c r="K593" s="104">
        <f t="shared" si="48"/>
        <v>519015.55999999994</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36708.400000000001</v>
      </c>
      <c r="K594" s="104">
        <f t="shared" si="48"/>
        <v>36708.400000000001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3666.59</v>
      </c>
      <c r="J595" s="18">
        <v>19966.32</v>
      </c>
      <c r="K595" s="104">
        <f t="shared" si="48"/>
        <v>23632.91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v>1118.5999999999999</v>
      </c>
      <c r="J596" s="18">
        <f>3770.45+930.6</f>
        <v>4701.05</v>
      </c>
      <c r="K596" s="104">
        <f t="shared" si="48"/>
        <v>5819.65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449413.50670226966</v>
      </c>
      <c r="I599" s="108">
        <f>SUM(I592:I598)</f>
        <v>218349.47446595461</v>
      </c>
      <c r="J599" s="108">
        <f>SUM(J592:J598)</f>
        <v>325700.24883177568</v>
      </c>
      <c r="K599" s="108">
        <f>SUM(K592:K598)</f>
        <v>993463.23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213696.85069399726</v>
      </c>
      <c r="I605" s="18">
        <v>86238.263511610261</v>
      </c>
      <c r="J605" s="18">
        <v>154455.97579439252</v>
      </c>
      <c r="K605" s="104">
        <f>SUM(H605:J605)</f>
        <v>454391.09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213696.85069399726</v>
      </c>
      <c r="I606" s="108">
        <f>SUM(I603:I605)</f>
        <v>86238.263511610261</v>
      </c>
      <c r="J606" s="108">
        <f>SUM(J603:J605)</f>
        <v>154455.97579439252</v>
      </c>
      <c r="K606" s="108">
        <f>SUM(K603:K605)</f>
        <v>454391.09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10418.78+16970.52+38712.79-0.01</f>
        <v>66102.080000000002</v>
      </c>
      <c r="G612" s="18">
        <f>1939.61+9950.32+3855.03</f>
        <v>15744.960000000001</v>
      </c>
      <c r="H612" s="18">
        <v>0</v>
      </c>
      <c r="I612" s="18">
        <f>3067+297.17</f>
        <v>3364.17</v>
      </c>
      <c r="J612" s="18">
        <v>0</v>
      </c>
      <c r="K612" s="18">
        <v>0</v>
      </c>
      <c r="L612" s="88">
        <f>SUM(F612:K612)</f>
        <v>85211.21</v>
      </c>
      <c r="M612" s="8"/>
      <c r="N612" s="266"/>
    </row>
    <row r="613" spans="1:14" s="3" customFormat="1" ht="12.2" customHeight="1" x14ac:dyDescent="0.15">
      <c r="A613" s="22" t="s">
        <v>634</v>
      </c>
      <c r="B613" s="75">
        <v>23</v>
      </c>
      <c r="C613" s="75">
        <v>14</v>
      </c>
      <c r="D613" s="2" t="s">
        <v>432</v>
      </c>
      <c r="E613" s="75"/>
      <c r="F613" s="18">
        <f>4951.07+18396.57+8064.51</f>
        <v>31412.15</v>
      </c>
      <c r="G613" s="18">
        <f>921.71+4728.46+1831.93</f>
        <v>7482.1</v>
      </c>
      <c r="H613" s="18">
        <v>0</v>
      </c>
      <c r="I613" s="18">
        <f>1457.46+141.21</f>
        <v>1598.67</v>
      </c>
      <c r="J613" s="18">
        <v>0</v>
      </c>
      <c r="K613" s="18">
        <v>0</v>
      </c>
      <c r="L613" s="88">
        <f>SUM(F613:K613)</f>
        <v>40492.92</v>
      </c>
      <c r="M613" s="8"/>
      <c r="N613" s="266"/>
    </row>
    <row r="614" spans="1:14" s="3" customFormat="1" ht="12.2" customHeight="1" thickBot="1" x14ac:dyDescent="0.2">
      <c r="A614" s="22" t="s">
        <v>645</v>
      </c>
      <c r="B614" s="75">
        <v>23</v>
      </c>
      <c r="C614" s="75">
        <v>15</v>
      </c>
      <c r="D614" s="2" t="s">
        <v>432</v>
      </c>
      <c r="E614" s="75"/>
      <c r="F614" s="18">
        <f>6127.85+22769.09</f>
        <v>28896.940000000002</v>
      </c>
      <c r="G614" s="18">
        <f>1140.79+5852.32</f>
        <v>6993.11</v>
      </c>
      <c r="H614" s="18">
        <v>0</v>
      </c>
      <c r="I614" s="18">
        <v>1803.87</v>
      </c>
      <c r="J614" s="18">
        <v>0</v>
      </c>
      <c r="K614" s="18">
        <v>0</v>
      </c>
      <c r="L614" s="88">
        <f>SUM(F614:K614)</f>
        <v>37693.920000000006</v>
      </c>
      <c r="M614" s="8"/>
      <c r="N614" s="266"/>
    </row>
    <row r="615" spans="1:14" s="3" customFormat="1" ht="12.2" customHeight="1" thickTop="1" x14ac:dyDescent="0.15">
      <c r="A615" s="98" t="s">
        <v>340</v>
      </c>
      <c r="B615" s="107">
        <v>23</v>
      </c>
      <c r="C615" s="107">
        <v>16</v>
      </c>
      <c r="D615" s="39" t="s">
        <v>432</v>
      </c>
      <c r="E615" s="107"/>
      <c r="F615" s="108">
        <f t="shared" ref="F615:L615" si="49">SUM(F612:F614)</f>
        <v>126411.17000000001</v>
      </c>
      <c r="G615" s="108">
        <f t="shared" si="49"/>
        <v>30220.170000000002</v>
      </c>
      <c r="H615" s="108">
        <f t="shared" si="49"/>
        <v>0</v>
      </c>
      <c r="I615" s="108">
        <f t="shared" si="49"/>
        <v>6766.71</v>
      </c>
      <c r="J615" s="108">
        <f t="shared" si="49"/>
        <v>0</v>
      </c>
      <c r="K615" s="108">
        <f t="shared" si="49"/>
        <v>0</v>
      </c>
      <c r="L615" s="89">
        <f t="shared" si="49"/>
        <v>163398.05000000002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505466.71</v>
      </c>
      <c r="H618" s="109">
        <f>SUM(F52)</f>
        <v>505466.70999999996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192134.28</v>
      </c>
      <c r="H619" s="109">
        <f>SUM(G52)</f>
        <v>192134.28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597679.88</v>
      </c>
      <c r="H620" s="109">
        <f>SUM(H52)</f>
        <v>597679.88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2382840.4900000002</v>
      </c>
      <c r="H621" s="109">
        <f>SUM(I52)</f>
        <v>2382840.4900000002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52093.15</v>
      </c>
      <c r="H622" s="109">
        <f>SUM(J52)</f>
        <v>52093.15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77058.66</v>
      </c>
      <c r="H624" s="109">
        <f>G477</f>
        <v>77058.660000000033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122977.4</v>
      </c>
      <c r="H625" s="109">
        <f>H477</f>
        <v>122977.39999999991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-69553.59</v>
      </c>
      <c r="H626" s="109">
        <f>I477</f>
        <v>-69553.589999999851</v>
      </c>
      <c r="I626" s="121" t="s">
        <v>104</v>
      </c>
      <c r="J626" s="109">
        <f t="shared" si="50"/>
        <v>-1.4551915228366852E-10</v>
      </c>
      <c r="K626" s="109"/>
      <c r="L626" s="109"/>
      <c r="M626" s="8"/>
    </row>
    <row r="627" spans="1:13" s="3" customFormat="1" ht="12.2" customHeight="1" x14ac:dyDescent="0.15">
      <c r="A627" s="22"/>
      <c r="B627" s="105"/>
      <c r="C627" s="105"/>
      <c r="D627" s="105"/>
      <c r="E627" s="105"/>
      <c r="F627" s="120" t="s">
        <v>869</v>
      </c>
      <c r="G627" s="109">
        <f>J51</f>
        <v>52093.15</v>
      </c>
      <c r="H627" s="109">
        <f>J477</f>
        <v>52093.150000000009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26025713.210000001</v>
      </c>
      <c r="H628" s="104">
        <f>SUM(F469)</f>
        <v>26025713.210000001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720454.99</v>
      </c>
      <c r="H629" s="104">
        <f>SUM(G469)</f>
        <v>720454.99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1958208.94</v>
      </c>
      <c r="H630" s="104">
        <f>SUM(H469)</f>
        <v>1958208.94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830615.3</v>
      </c>
      <c r="H631" s="104">
        <f>SUM(I469)</f>
        <v>830615.3</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58994.16</v>
      </c>
      <c r="H632" s="104">
        <f>SUM(J469)</f>
        <v>58994.16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26025713.210000001</v>
      </c>
      <c r="H633" s="104">
        <f>SUM(F473)</f>
        <v>26025713.210000001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1961420.0099999998</v>
      </c>
      <c r="H634" s="104">
        <f>SUM(H473)</f>
        <v>1961420.01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33303.47</v>
      </c>
      <c r="H635" s="104">
        <f>I370</f>
        <v>33303.47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707970.34</v>
      </c>
      <c r="H636" s="104">
        <f>SUM(G473)</f>
        <v>707970.34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2094196.73</v>
      </c>
      <c r="H637" s="104">
        <f>SUM(I473)</f>
        <v>2094196.73</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58994.16</v>
      </c>
      <c r="H638" s="164">
        <f>SUM(J469)</f>
        <v>58994.16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54885.200000000004</v>
      </c>
      <c r="H639" s="164">
        <f>SUM(J473)</f>
        <v>54885.2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52093.15</v>
      </c>
      <c r="H642" s="104">
        <f>SUM(H462)</f>
        <v>52093.15</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52093.15</v>
      </c>
      <c r="H643" s="104">
        <f>SUM(I462)</f>
        <v>52093.15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58994.16</v>
      </c>
      <c r="H647" s="104">
        <f>L409</f>
        <v>58994.16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993463.23</v>
      </c>
      <c r="H648" s="104">
        <f>L209+L227+L245</f>
        <v>993463.23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454391.09</v>
      </c>
      <c r="H649" s="104">
        <f>(J258+J339)-(J256+J337)</f>
        <v>454391.08999999997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449413.51</v>
      </c>
      <c r="H650" s="104">
        <f>H599</f>
        <v>449413.50670226966</v>
      </c>
      <c r="I650" s="140" t="s">
        <v>388</v>
      </c>
      <c r="J650" s="109">
        <f t="shared" si="50"/>
        <v>3.2977303490042686E-3</v>
      </c>
      <c r="K650" s="85"/>
      <c r="L650" s="88"/>
      <c r="M650" s="8"/>
    </row>
    <row r="651" spans="1:13" s="3" customFormat="1" ht="12.2" customHeight="1" x14ac:dyDescent="0.15">
      <c r="A651" s="22"/>
      <c r="B651" s="105"/>
      <c r="C651" s="105"/>
      <c r="D651" s="105"/>
      <c r="E651" s="105"/>
      <c r="F651" s="120" t="s">
        <v>392</v>
      </c>
      <c r="G651" s="109">
        <f>L227</f>
        <v>218349.47</v>
      </c>
      <c r="H651" s="104">
        <f>I599</f>
        <v>218349.47446595461</v>
      </c>
      <c r="I651" s="140" t="s">
        <v>389</v>
      </c>
      <c r="J651" s="109">
        <f t="shared" si="50"/>
        <v>-4.4659546110779047E-3</v>
      </c>
      <c r="K651" s="85"/>
      <c r="L651" s="88"/>
      <c r="M651" s="8"/>
    </row>
    <row r="652" spans="1:13" s="3" customFormat="1" ht="12.2" customHeight="1" x14ac:dyDescent="0.15">
      <c r="A652" s="22"/>
      <c r="B652" s="105"/>
      <c r="C652" s="105"/>
      <c r="D652" s="105"/>
      <c r="E652" s="105"/>
      <c r="F652" s="120" t="s">
        <v>393</v>
      </c>
      <c r="G652" s="109">
        <f>L245</f>
        <v>325700.25</v>
      </c>
      <c r="H652" s="104">
        <f>J599</f>
        <v>325700.24883177568</v>
      </c>
      <c r="I652" s="140" t="s">
        <v>390</v>
      </c>
      <c r="J652" s="109">
        <f t="shared" si="50"/>
        <v>1.168224320281297E-3</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12121998.119999999</v>
      </c>
      <c r="G661" s="19">
        <f>(L230+L310+L360)</f>
        <v>6049469.629999998</v>
      </c>
      <c r="H661" s="19">
        <f>(L248+L329+L361)</f>
        <v>7962168.3900000006</v>
      </c>
      <c r="I661" s="19">
        <f>SUM(F661:H661)</f>
        <v>26133636.139999997</v>
      </c>
      <c r="J661" s="13"/>
      <c r="K661" s="13"/>
      <c r="L661" s="13"/>
      <c r="M661" s="9"/>
    </row>
    <row r="662" spans="1:13" s="3" customFormat="1" ht="12.2" customHeight="1" x14ac:dyDescent="0.2">
      <c r="A662" s="1" t="s">
        <v>127</v>
      </c>
      <c r="F662" s="19">
        <f>(L359/IF(SUM(L359:L361)=0,1,SUM(L359:L361))*(SUM(G97:G110)))</f>
        <v>228801.93000000005</v>
      </c>
      <c r="G662" s="19">
        <f>(L360/IF(SUM(L359:L361)=0,1,SUM(L359:L361))*(SUM(G97:G110)))</f>
        <v>0</v>
      </c>
      <c r="H662" s="19">
        <f>(L361/IF(SUM(L359:L361)=0,1,SUM(L359:L361))*(SUM(G97:G110)))</f>
        <v>0</v>
      </c>
      <c r="I662" s="19">
        <f>SUM(F662:H662)</f>
        <v>228801.93000000005</v>
      </c>
      <c r="J662"/>
      <c r="K662" s="13"/>
      <c r="L662" s="13"/>
      <c r="M662" s="8"/>
    </row>
    <row r="663" spans="1:13" s="3" customFormat="1" ht="12.2" customHeight="1" x14ac:dyDescent="0.2">
      <c r="A663" s="1" t="s">
        <v>128</v>
      </c>
      <c r="F663" s="19">
        <f>(L209+L288)-(J209+J288)</f>
        <v>458787.72000000003</v>
      </c>
      <c r="G663" s="19">
        <f>(L227+L307)-(J227+J307)</f>
        <v>222804.16</v>
      </c>
      <c r="H663" s="19">
        <f>(L245+L326)-(J245+J326)</f>
        <v>325837.36</v>
      </c>
      <c r="I663" s="19">
        <f>SUM(F663:H663)</f>
        <v>1007429.24</v>
      </c>
      <c r="J663"/>
      <c r="K663" s="13"/>
      <c r="L663" s="13"/>
      <c r="M663" s="9"/>
    </row>
    <row r="664" spans="1:13" s="3" customFormat="1" ht="12.2" customHeight="1" x14ac:dyDescent="0.15">
      <c r="A664" s="198" t="s">
        <v>129</v>
      </c>
      <c r="B664" s="169"/>
      <c r="C664" s="169"/>
      <c r="D664" s="169"/>
      <c r="E664" s="169"/>
      <c r="F664" s="199">
        <f>SUM(F576:F588)+SUM(H603:H605)+SUM(L612)</f>
        <v>819015.89069399715</v>
      </c>
      <c r="G664" s="199">
        <f>SUM(G576:G588)+SUM(I603:I605)+L613</f>
        <v>492780.84351161023</v>
      </c>
      <c r="H664" s="199">
        <f>SUM(H576:H588)+SUM(J603:J605)+L614</f>
        <v>834831.00579439255</v>
      </c>
      <c r="I664" s="19">
        <f>SUM(F664:H664)</f>
        <v>2146627.7399999998</v>
      </c>
      <c r="J664" s="13"/>
      <c r="K664" s="13"/>
      <c r="L664" s="13"/>
      <c r="M664" s="9"/>
    </row>
    <row r="665" spans="1:13" s="3" customFormat="1" ht="12.2" customHeight="1" x14ac:dyDescent="0.15">
      <c r="A665" s="1" t="s">
        <v>130</v>
      </c>
      <c r="F665" s="19">
        <f>F661-SUM(F662:F664)</f>
        <v>10615392.579306003</v>
      </c>
      <c r="G665" s="19">
        <f>G661-SUM(G662:G664)</f>
        <v>5333884.6264883876</v>
      </c>
      <c r="H665" s="19">
        <f>H661-SUM(H662:H664)</f>
        <v>6801500.0242056083</v>
      </c>
      <c r="I665" s="19">
        <f>I661-SUM(I662:I664)</f>
        <v>22750777.229999997</v>
      </c>
      <c r="J665" s="13"/>
      <c r="K665" s="13"/>
      <c r="L665" s="13"/>
      <c r="M665" s="8"/>
    </row>
    <row r="666" spans="1:13" s="3" customFormat="1" ht="12.2" customHeight="1" x14ac:dyDescent="0.2">
      <c r="A666" s="1" t="s">
        <v>131</v>
      </c>
      <c r="F666" s="246">
        <f>7.23+100.37+570.64</f>
        <v>678.24</v>
      </c>
      <c r="G666" s="247">
        <v>342.34</v>
      </c>
      <c r="H666" s="247">
        <v>409.34</v>
      </c>
      <c r="I666" s="19">
        <f>SUM(F666:H666)</f>
        <v>1429.9199999999998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15651.38</v>
      </c>
      <c r="G668" s="19">
        <f>ROUND(G665/G666,2)</f>
        <v>15580.66</v>
      </c>
      <c r="H668" s="19">
        <f>ROUND(H665/H666,2)</f>
        <v>16615.77</v>
      </c>
      <c r="I668" s="19">
        <f>ROUND(I665/I666,2)</f>
        <v>15910.52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6.98</v>
      </c>
      <c r="I671" s="19">
        <f>SUM(F671:H671)</f>
        <v>6.98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15651.38</v>
      </c>
      <c r="G673" s="19">
        <f>ROUND((G665+G670)/(G666+G671),2)</f>
        <v>15580.66</v>
      </c>
      <c r="H673" s="19">
        <f>ROUND((H665+H670)/(H666+H671),2)</f>
        <v>16337.19</v>
      </c>
      <c r="I673" s="19">
        <f>ROUND((I665+I670)/(I666+I671),2)</f>
        <v>15833.24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wm0xF9+AEf9nrIFqaahtPprXUv0TLpPb5glYSVyPT3GdworGPfTwZpM37z+aVrNn1ACd60oUohPOUbODTbRFrQ==" saltValue="WfFsaf3xfV3Dn8UpkOoOYw=="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Somersworth School District</v>
      </c>
      <c r="C5" s="344"/>
      <c r="D5" s="344"/>
      <c r="E5" s="344"/>
      <c r="F5" s="344"/>
    </row>
    <row r="8" spans="1:9" ht="18" x14ac:dyDescent="0.25">
      <c r="A8" s="323" t="s">
        <v>1591</v>
      </c>
      <c r="F8" s="330" t="s">
        <v>1609</v>
      </c>
    </row>
    <row r="9" spans="1:9" ht="15" x14ac:dyDescent="0.2">
      <c r="A9" s="321" t="s">
        <v>1592</v>
      </c>
      <c r="B9" s="324">
        <f>'DOE25'!G97</f>
        <v>228801.93000000005</v>
      </c>
      <c r="F9" s="321" t="s">
        <v>1605</v>
      </c>
    </row>
    <row r="10" spans="1:9" ht="15" x14ac:dyDescent="0.2">
      <c r="A10" s="321" t="s">
        <v>1593</v>
      </c>
      <c r="B10" s="324">
        <f>'DOE25'!G112-'DOE25'!G97</f>
        <v>0</v>
      </c>
      <c r="F10" s="321" t="s">
        <v>1606</v>
      </c>
    </row>
    <row r="11" spans="1:9" ht="15" x14ac:dyDescent="0.2">
      <c r="A11" s="321" t="s">
        <v>1594</v>
      </c>
      <c r="B11" s="324">
        <f>'DOE25'!G140</f>
        <v>42139.520000000004</v>
      </c>
      <c r="F11" s="321" t="s">
        <v>1607</v>
      </c>
    </row>
    <row r="12" spans="1:9" ht="15" x14ac:dyDescent="0.2">
      <c r="A12" s="321" t="s">
        <v>1595</v>
      </c>
      <c r="B12" s="324">
        <f>'DOE25'!G170</f>
        <v>449513.54</v>
      </c>
      <c r="F12" s="321" t="s">
        <v>1608</v>
      </c>
    </row>
    <row r="13" spans="1:9" ht="15" x14ac:dyDescent="0.2">
      <c r="A13" s="321" t="s">
        <v>1596</v>
      </c>
      <c r="B13" s="324">
        <f>'DOE25'!G193-'DOE25'!G180</f>
        <v>0</v>
      </c>
      <c r="F13" s="321" t="s">
        <v>1618</v>
      </c>
    </row>
    <row r="14" spans="1:9" ht="18" x14ac:dyDescent="0.25">
      <c r="A14" s="323" t="s">
        <v>732</v>
      </c>
      <c r="B14" s="325">
        <f>SUM(B9:B13)</f>
        <v>720454.99</v>
      </c>
    </row>
    <row r="16" spans="1:9" ht="18" x14ac:dyDescent="0.25">
      <c r="A16" s="323" t="s">
        <v>786</v>
      </c>
      <c r="F16" s="330" t="s">
        <v>1610</v>
      </c>
    </row>
    <row r="17" spans="1:6" ht="15" x14ac:dyDescent="0.2">
      <c r="A17" s="321" t="s">
        <v>1597</v>
      </c>
      <c r="B17" s="324">
        <f>'DOE25'!L363-'DOE25'!L362</f>
        <v>707970.34</v>
      </c>
      <c r="F17" s="321" t="s">
        <v>1611</v>
      </c>
    </row>
    <row r="18" spans="1:6" ht="15" x14ac:dyDescent="0.2">
      <c r="A18" s="321" t="s">
        <v>1598</v>
      </c>
      <c r="B18" s="338">
        <v>0</v>
      </c>
      <c r="F18" s="330" t="s">
        <v>1637</v>
      </c>
    </row>
    <row r="19" spans="1:6" ht="18" x14ac:dyDescent="0.25">
      <c r="A19" s="323" t="s">
        <v>725</v>
      </c>
      <c r="B19" s="325">
        <f>SUM(B17:B18)</f>
        <v>707970.34</v>
      </c>
    </row>
    <row r="21" spans="1:6" ht="18.75" thickBot="1" x14ac:dyDescent="0.3">
      <c r="A21" s="323" t="s">
        <v>1599</v>
      </c>
    </row>
    <row r="22" spans="1:6" ht="18.75" thickTop="1" x14ac:dyDescent="0.25">
      <c r="A22" s="323" t="s">
        <v>1600</v>
      </c>
      <c r="B22" s="329">
        <f>B14-B19</f>
        <v>12484.650000000023</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64574.01</v>
      </c>
      <c r="F31" s="321" t="s">
        <v>1615</v>
      </c>
    </row>
    <row r="33" spans="1:6" ht="15" x14ac:dyDescent="0.2">
      <c r="A33" s="321" t="s">
        <v>1641</v>
      </c>
      <c r="B33" s="324">
        <f>'DOE25'!G477</f>
        <v>77058.660000000033</v>
      </c>
      <c r="F33" s="321" t="s">
        <v>1616</v>
      </c>
    </row>
    <row r="36" spans="1:6" ht="15" x14ac:dyDescent="0.2">
      <c r="A36" s="321" t="s">
        <v>1602</v>
      </c>
      <c r="B36" s="339">
        <v>46885.59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Somersworth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5443226.7999999998</v>
      </c>
      <c r="C9" s="229">
        <f>'DOE25'!G198+'DOE25'!G216+'DOE25'!G234+'DOE25'!G277+'DOE25'!G296+'DOE25'!G315</f>
        <v>3027376.98</v>
      </c>
    </row>
    <row r="10" spans="1:3" x14ac:dyDescent="0.2">
      <c r="A10" t="s">
        <v>775</v>
      </c>
      <c r="B10" s="240">
        <f>10812.5+4710387.97</f>
        <v>4721200.47</v>
      </c>
      <c r="C10" s="240">
        <f>1141274.87+50450.58+6517.33+10066+1678.21+6634.06+330930.44+824637.87+589.64</f>
        <v>2372779.0000000005</v>
      </c>
    </row>
    <row r="11" spans="1:3" x14ac:dyDescent="0.2">
      <c r="A11" t="s">
        <v>776</v>
      </c>
      <c r="B11" s="240">
        <f>203050.63</f>
        <v>203050.63</v>
      </c>
      <c r="C11" s="240">
        <f>130964+5371.48+512+442+9.78+0.09+13216.47+20888.64</f>
        <v>171404.46000000002</v>
      </c>
    </row>
    <row r="12" spans="1:3" x14ac:dyDescent="0.2">
      <c r="A12" t="s">
        <v>777</v>
      </c>
      <c r="B12" s="240">
        <f>21497.7+3000+87988.05+335620.01+1936+6610+1994+2437.96+47830.5+4600+885.75+4575.75-0.02</f>
        <v>518975.7</v>
      </c>
      <c r="C12" s="240">
        <f>1644.65+229.5+6351.61+2357.46+2327.22+124345.14+23705.55+39.51+149.13+474.97+151.54+147+46336.9+0.89+339.24+990.01+360.3+405+129287.77+874.32+4194.56+5199.64+400+19.33+350.39+320.4+900+131291.49</f>
        <v>483193.52000000008</v>
      </c>
    </row>
    <row r="13" spans="1:3" x14ac:dyDescent="0.2">
      <c r="A13" t="str">
        <f>IF(B9=B13,IF(C9=C13,"Check Total OK","Check Total Error"),"Check Total Error")</f>
        <v>Check Total OK</v>
      </c>
      <c r="B13" s="231">
        <f>SUM(B10:B12)</f>
        <v>5443226.7999999998</v>
      </c>
      <c r="C13" s="231">
        <f>SUM(C10:C12)</f>
        <v>3027376.9800000004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2537723.94</v>
      </c>
      <c r="C18" s="229">
        <f>'DOE25'!G199+'DOE25'!G217+'DOE25'!G235+'DOE25'!G278+'DOE25'!G297+'DOE25'!G316</f>
        <v>1565195.5299999998</v>
      </c>
    </row>
    <row r="19" spans="1:3" x14ac:dyDescent="0.2">
      <c r="A19" t="s">
        <v>775</v>
      </c>
      <c r="B19" s="240">
        <f>908755.19+152812.16</f>
        <v>1061567.3499999999</v>
      </c>
      <c r="C19" s="240">
        <f>245043.9+11701.6+1292.76+1698.22+415.68+64955.29+159128.16+49779+2165+193.15+264+7.84+10843.82+24939.5</f>
        <v>572427.91999999993</v>
      </c>
    </row>
    <row r="20" spans="1:3" x14ac:dyDescent="0.2">
      <c r="A20" t="s">
        <v>776</v>
      </c>
      <c r="B20" s="240">
        <v>1252060.28</v>
      </c>
      <c r="C20" s="240">
        <f>649205.2+875+36092.38+452+3363.87+271+2684.19+116+7.28+1186.02+87471.06+6096.34+3152+2670.32+136417.23+11767.78+4689</f>
        <v>946516.66999999993</v>
      </c>
    </row>
    <row r="21" spans="1:3" x14ac:dyDescent="0.2">
      <c r="A21" t="s">
        <v>777</v>
      </c>
      <c r="B21" s="240">
        <f>79878.45+41200+63373.86+39644</f>
        <v>224096.31</v>
      </c>
      <c r="C21" s="240">
        <f>1750+23237+855.6+53.39+79.75+4862.54+2657.21+5698.79+7056.66</f>
        <v>46250.94</v>
      </c>
    </row>
    <row r="22" spans="1:3" x14ac:dyDescent="0.2">
      <c r="A22" t="str">
        <f>IF(B18=B22,IF(C18=C22,"Check Total OK","Check Total Error"),"Check Total Error")</f>
        <v>Check Total OK</v>
      </c>
      <c r="B22" s="231">
        <f>SUM(B19:B21)</f>
        <v>2537723.94</v>
      </c>
      <c r="C22" s="231">
        <f>SUM(C19:C21)</f>
        <v>1565195.5299999998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451516.31</v>
      </c>
      <c r="C27" s="234">
        <f>'DOE25'!G200+'DOE25'!G218+'DOE25'!G236+'DOE25'!G279+'DOE25'!G298+'DOE25'!G317</f>
        <v>231981.46</v>
      </c>
    </row>
    <row r="28" spans="1:3" x14ac:dyDescent="0.2">
      <c r="A28" t="s">
        <v>775</v>
      </c>
      <c r="B28" s="240">
        <v>432696.79</v>
      </c>
      <c r="C28" s="240">
        <f>120637.67+4806.13+588.37+741.82+292.72+30705.95+70423.98</f>
        <v>228196.64</v>
      </c>
    </row>
    <row r="29" spans="1:3" x14ac:dyDescent="0.2">
      <c r="A29" t="s">
        <v>776</v>
      </c>
      <c r="B29" s="240">
        <v>17769.52</v>
      </c>
      <c r="C29" s="240">
        <f>1383+705+49.23+40+1452.09</f>
        <v>3629.3199999999997</v>
      </c>
    </row>
    <row r="30" spans="1:3" x14ac:dyDescent="0.2">
      <c r="A30" t="s">
        <v>777</v>
      </c>
      <c r="B30" s="240">
        <v>1050</v>
      </c>
      <c r="C30" s="240">
        <f>75.43+80.07</f>
        <v>155.5</v>
      </c>
    </row>
    <row r="31" spans="1:3" x14ac:dyDescent="0.2">
      <c r="A31" t="str">
        <f>IF(B27=B31,IF(C27=C31,"Check Total OK","Check Total Error"),"Check Total Error")</f>
        <v>Check Total OK</v>
      </c>
      <c r="B31" s="231">
        <f>SUM(B28:B30)</f>
        <v>451516.31</v>
      </c>
      <c r="C31" s="231">
        <f>SUM(C28:C30)</f>
        <v>231981.46000000002</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245645.99</v>
      </c>
      <c r="C36" s="235">
        <f>'DOE25'!G201+'DOE25'!G219+'DOE25'!G237+'DOE25'!G280+'DOE25'!G299+'DOE25'!G318</f>
        <v>63909.53</v>
      </c>
    </row>
    <row r="37" spans="1:3" x14ac:dyDescent="0.2">
      <c r="A37" t="s">
        <v>775</v>
      </c>
      <c r="B37" s="240">
        <v>0</v>
      </c>
      <c r="C37" s="240">
        <v>0</v>
      </c>
    </row>
    <row r="38" spans="1:3" x14ac:dyDescent="0.2">
      <c r="A38" t="s">
        <v>776</v>
      </c>
      <c r="B38" s="240">
        <v>0</v>
      </c>
      <c r="C38" s="240">
        <v>0</v>
      </c>
    </row>
    <row r="39" spans="1:3" x14ac:dyDescent="0.2">
      <c r="A39" t="s">
        <v>777</v>
      </c>
      <c r="B39" s="240">
        <f>7934.05+16171+1500+1697.1+23337.93+114936.91+80069</f>
        <v>245645.99</v>
      </c>
      <c r="C39" s="240">
        <f>1.7+1.04+1.61+1950.51+3426.28+124.59+1785.55+245.52+3531.3+8342.13+9309.56+447+0.11+1948.25+8461.39+594.81+10435.36+6115.42+7187.4</f>
        <v>63909.53</v>
      </c>
    </row>
    <row r="40" spans="1:3" x14ac:dyDescent="0.2">
      <c r="A40" t="str">
        <f>IF(B36=B40,IF(C36=C40,"Check Total OK","Check Total Error"),"Check Total Error")</f>
        <v>Check Total OK</v>
      </c>
      <c r="B40" s="231">
        <f>SUM(B37:B39)</f>
        <v>245645.99</v>
      </c>
      <c r="C40" s="231">
        <f>SUM(C37:C39)</f>
        <v>63909.53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Somersworth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14913176.83</v>
      </c>
      <c r="D5" s="20">
        <f>SUM('DOE25'!L198:L201)+SUM('DOE25'!L216:L219)+SUM('DOE25'!L234:L237)-F5-G5-H5</f>
        <v>14803197.720000001</v>
      </c>
      <c r="E5" s="243"/>
      <c r="F5" s="244">
        <f>53532.73+23852.56</f>
        <v>77385.290000000008</v>
      </c>
      <c r="G5" s="53">
        <f>SUM('DOE25'!J198:J201)+SUM('DOE25'!J216:J219)+SUM('DOE25'!J234:J237)</f>
        <v>27702.82</v>
      </c>
      <c r="H5" s="53">
        <f>SUM('DOE25'!K198:K201)+SUM('DOE25'!K216:K219)+SUM('DOE25'!K234:K237)</f>
        <v>4891</v>
      </c>
      <c r="I5" s="256"/>
    </row>
    <row r="6" spans="1:9" x14ac:dyDescent="0.2">
      <c r="A6" s="32">
        <v>2100</v>
      </c>
      <c r="B6" t="s">
        <v>796</v>
      </c>
      <c r="C6" s="276">
        <f t="shared" si="0"/>
        <v>1824019.88</v>
      </c>
      <c r="D6" s="20">
        <f>'DOE25'!L203+'DOE25'!L221+'DOE25'!L239-F6-G6-H6</f>
        <v>1509858.2899999998</v>
      </c>
      <c r="E6" s="243"/>
      <c r="F6" s="244">
        <f>370086.27-66400</f>
        <v>303686.27</v>
      </c>
      <c r="G6" s="53">
        <f>'DOE25'!J203+'DOE25'!J221+'DOE25'!J239</f>
        <v>0</v>
      </c>
      <c r="H6" s="53">
        <f>'DOE25'!K203+'DOE25'!K221+'DOE25'!K239</f>
        <v>10475.32</v>
      </c>
      <c r="I6" s="256"/>
    </row>
    <row r="7" spans="1:9" x14ac:dyDescent="0.2">
      <c r="A7" s="32">
        <v>2200</v>
      </c>
      <c r="B7" t="s">
        <v>821</v>
      </c>
      <c r="C7" s="276">
        <f t="shared" si="0"/>
        <v>391760.49</v>
      </c>
      <c r="D7" s="20">
        <f>'DOE25'!L204+'DOE25'!L222+'DOE25'!L240-F7-G7-H7</f>
        <v>389628.22</v>
      </c>
      <c r="E7" s="243"/>
      <c r="F7" s="244">
        <v>0</v>
      </c>
      <c r="G7" s="53">
        <f>'DOE25'!J204+'DOE25'!J222+'DOE25'!J240</f>
        <v>2132.27</v>
      </c>
      <c r="H7" s="53">
        <f>'DOE25'!K204+'DOE25'!K222+'DOE25'!K240</f>
        <v>0</v>
      </c>
      <c r="I7" s="256"/>
    </row>
    <row r="8" spans="1:9" x14ac:dyDescent="0.2">
      <c r="A8" s="32">
        <v>2300</v>
      </c>
      <c r="B8" t="s">
        <v>797</v>
      </c>
      <c r="C8" s="276">
        <f t="shared" si="0"/>
        <v>659389.06000000006</v>
      </c>
      <c r="D8" s="243"/>
      <c r="E8" s="20">
        <f>'DOE25'!L205+'DOE25'!L223+'DOE25'!L241-F8-G8-H8-D9-D11</f>
        <v>653824.35000000009</v>
      </c>
      <c r="F8" s="244">
        <v>0</v>
      </c>
      <c r="G8" s="53">
        <f>'DOE25'!J205+'DOE25'!J223+'DOE25'!J241</f>
        <v>0</v>
      </c>
      <c r="H8" s="53">
        <f>'DOE25'!K205+'DOE25'!K223+'DOE25'!K241</f>
        <v>5564.71</v>
      </c>
      <c r="I8" s="256"/>
    </row>
    <row r="9" spans="1:9" ht="14.25" x14ac:dyDescent="0.2">
      <c r="A9" s="32">
        <v>2310</v>
      </c>
      <c r="B9" s="185" t="s">
        <v>890</v>
      </c>
      <c r="C9" s="276">
        <f t="shared" si="0"/>
        <v>13023.58</v>
      </c>
      <c r="D9" s="244">
        <v>13023.58</v>
      </c>
      <c r="E9" s="243"/>
      <c r="F9" s="253"/>
      <c r="G9" s="253"/>
      <c r="H9" s="253"/>
      <c r="I9" s="256"/>
    </row>
    <row r="10" spans="1:9" ht="14.25" x14ac:dyDescent="0.2">
      <c r="A10" s="32">
        <v>2317</v>
      </c>
      <c r="B10" s="185" t="s">
        <v>891</v>
      </c>
      <c r="C10" s="276">
        <f t="shared" si="0"/>
        <v>7518.82</v>
      </c>
      <c r="D10" s="243"/>
      <c r="E10" s="244">
        <v>7518.82</v>
      </c>
      <c r="F10" s="253"/>
      <c r="G10" s="253"/>
      <c r="H10" s="253"/>
      <c r="I10" s="256"/>
    </row>
    <row r="11" spans="1:9" ht="14.25" x14ac:dyDescent="0.2">
      <c r="A11" s="32">
        <v>2321</v>
      </c>
      <c r="B11" s="185" t="s">
        <v>892</v>
      </c>
      <c r="C11" s="276">
        <f t="shared" si="0"/>
        <v>347213.76</v>
      </c>
      <c r="D11" s="244">
        <v>347213.76</v>
      </c>
      <c r="E11" s="243"/>
      <c r="F11" s="253"/>
      <c r="G11" s="253"/>
      <c r="H11" s="253"/>
      <c r="I11" s="256"/>
    </row>
    <row r="12" spans="1:9" x14ac:dyDescent="0.2">
      <c r="A12" s="32">
        <v>2400</v>
      </c>
      <c r="B12" t="s">
        <v>711</v>
      </c>
      <c r="C12" s="276">
        <f t="shared" si="0"/>
        <v>1730821.19</v>
      </c>
      <c r="D12" s="20">
        <f>'DOE25'!L206+'DOE25'!L224+'DOE25'!L242-F12-G12-H12</f>
        <v>1707056.19</v>
      </c>
      <c r="E12" s="243"/>
      <c r="F12" s="244">
        <v>0</v>
      </c>
      <c r="G12" s="53">
        <f>'DOE25'!J206+'DOE25'!J224+'DOE25'!J242</f>
        <v>17101</v>
      </c>
      <c r="H12" s="53">
        <f>'DOE25'!K206+'DOE25'!K224+'DOE25'!K242</f>
        <v>6664</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2244789.7600000002</v>
      </c>
      <c r="D14" s="20">
        <f>'DOE25'!L208+'DOE25'!L226+'DOE25'!L244-F14-G14-H14</f>
        <v>2072640.6099999999</v>
      </c>
      <c r="E14" s="243"/>
      <c r="F14" s="244">
        <v>162780.93</v>
      </c>
      <c r="G14" s="53">
        <f>'DOE25'!J208+'DOE25'!J226+'DOE25'!J244</f>
        <v>9368.2199999999993</v>
      </c>
      <c r="H14" s="53">
        <f>'DOE25'!K208+'DOE25'!K226+'DOE25'!K244</f>
        <v>0</v>
      </c>
      <c r="I14" s="256"/>
    </row>
    <row r="15" spans="1:9" x14ac:dyDescent="0.2">
      <c r="A15" s="32">
        <v>2700</v>
      </c>
      <c r="B15" t="s">
        <v>799</v>
      </c>
      <c r="C15" s="276">
        <f t="shared" si="0"/>
        <v>993463.23</v>
      </c>
      <c r="D15" s="20">
        <f>'DOE25'!L209+'DOE25'!L227+'DOE25'!L245-F15-G15-H15</f>
        <v>145861.03000000003</v>
      </c>
      <c r="E15" s="243"/>
      <c r="F15" s="244">
        <v>847602.2</v>
      </c>
      <c r="G15" s="53">
        <f>'DOE25'!J209+'DOE25'!J227+'DOE25'!J245</f>
        <v>0</v>
      </c>
      <c r="H15" s="53">
        <f>'DOE25'!K209+'DOE25'!K227+'DOE25'!K245</f>
        <v>0</v>
      </c>
      <c r="I15" s="256"/>
    </row>
    <row r="16" spans="1:9" x14ac:dyDescent="0.2">
      <c r="A16" s="32">
        <v>2800</v>
      </c>
      <c r="B16" t="s">
        <v>800</v>
      </c>
      <c r="C16" s="276">
        <f t="shared" si="0"/>
        <v>346588.01</v>
      </c>
      <c r="D16" s="243"/>
      <c r="E16" s="20">
        <f>'DOE25'!L210+'DOE25'!L228+'DOE25'!L246-F16-G16-H16</f>
        <v>93893.150000000009</v>
      </c>
      <c r="F16" s="244">
        <v>139799.93</v>
      </c>
      <c r="G16" s="53">
        <f>'DOE25'!J210+'DOE25'!J228+'DOE25'!J246</f>
        <v>112894.93000000001</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714457</v>
      </c>
      <c r="D22" s="243"/>
      <c r="E22" s="243"/>
      <c r="F22" s="243"/>
      <c r="G22" s="53">
        <f>'DOE25'!L256+'DOE25'!L337</f>
        <v>714457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1847010.42</v>
      </c>
      <c r="D25" s="243"/>
      <c r="E25" s="243"/>
      <c r="F25" s="255"/>
      <c r="G25" s="253"/>
      <c r="H25" s="253"/>
      <c r="I25" s="254">
        <f>'DOE25'!L261+'DOE25'!L262+'DOE25'!L342+'DOE25'!L343</f>
        <v>1847010.42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674851.80999999994</v>
      </c>
      <c r="D29" s="284">
        <f>'DOE25'!L359+'DOE25'!L360+'DOE25'!L361-'DOE25'!I368-F29-G29-H29</f>
        <v>190343.80999999994</v>
      </c>
      <c r="E29" s="243"/>
      <c r="F29" s="244">
        <v>481422</v>
      </c>
      <c r="G29" s="53">
        <f>'DOE25'!J359+'DOE25'!J360+'DOE25'!J361</f>
        <v>3086</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1961420.0099999998</v>
      </c>
      <c r="D31" s="20">
        <f>'DOE25'!L291+'DOE25'!L310+'DOE25'!L329+'DOE25'!L334+'DOE25'!L335+'DOE25'!L336-F31-G31-H31</f>
        <v>1560362.9699999997</v>
      </c>
      <c r="E31" s="243"/>
      <c r="F31" s="244">
        <v>66400</v>
      </c>
      <c r="G31" s="53">
        <f>'DOE25'!J291+'DOE25'!J310+'DOE25'!J329+'DOE25'!J334+'DOE25'!J335+'DOE25'!J336</f>
        <v>285191.84999999998</v>
      </c>
      <c r="H31" s="53">
        <f>'DOE25'!K291+'DOE25'!K310+'DOE25'!K329+'DOE25'!K334+'DOE25'!K335+'DOE25'!K336</f>
        <v>49465.19</v>
      </c>
      <c r="I31" s="256"/>
    </row>
    <row r="32" spans="1:9" ht="12" thickBot="1" x14ac:dyDescent="0.25">
      <c r="C32" s="277"/>
      <c r="G32" s="251"/>
      <c r="H32" s="251"/>
      <c r="I32" s="258"/>
    </row>
    <row r="33" spans="1:9" ht="12" thickTop="1" x14ac:dyDescent="0.2">
      <c r="B33" t="s">
        <v>809</v>
      </c>
      <c r="D33" s="245">
        <f t="shared" ref="D33:I33" si="1">SUM(D5:D31)</f>
        <v>22739186.18</v>
      </c>
      <c r="E33" s="245">
        <f t="shared" si="1"/>
        <v>755236.32000000007</v>
      </c>
      <c r="F33" s="245">
        <f t="shared" si="1"/>
        <v>2079076.6199999999</v>
      </c>
      <c r="G33" s="245">
        <f t="shared" si="1"/>
        <v>1171934.0899999999</v>
      </c>
      <c r="H33" s="245">
        <f t="shared" si="1"/>
        <v>77060.22</v>
      </c>
      <c r="I33" s="245">
        <f t="shared" si="1"/>
        <v>1847010.42</v>
      </c>
    </row>
    <row r="35" spans="1:9" ht="12" thickBot="1" x14ac:dyDescent="0.25">
      <c r="B35" s="251" t="s">
        <v>831</v>
      </c>
      <c r="D35" s="252">
        <f>E33</f>
        <v>755236.32000000007</v>
      </c>
      <c r="E35" s="248"/>
    </row>
    <row r="36" spans="1:9" ht="12" thickTop="1" x14ac:dyDescent="0.2">
      <c r="B36" t="s">
        <v>810</v>
      </c>
      <c r="D36" s="20">
        <f>D33</f>
        <v>22739186.18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Somersworth School District</v>
      </c>
      <c r="B2" s="126">
        <f>'DOE25'!B2</f>
        <v>491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11414027.779999999</v>
      </c>
      <c r="G4" s="303">
        <f>'DOE25'!L212+'DOE25'!L291</f>
        <v>11414027.779999999</v>
      </c>
      <c r="H4" s="337">
        <f>F4-G4</f>
        <v>0</v>
      </c>
      <c r="I4" s="309" t="str">
        <f>IF(H4=0,"","Does not match DOE25 page 7 and 11 Totals!!")</f>
        <v/>
      </c>
      <c r="N4"/>
    </row>
    <row r="5" spans="1:18" x14ac:dyDescent="0.2">
      <c r="A5" s="21" t="s">
        <v>1424</v>
      </c>
      <c r="B5" s="304">
        <f>IFERROR(VLOOKUP(A5,'School Tables'!$C$3:$D$365,2,FALSE),"")</f>
        <v>29202</v>
      </c>
      <c r="C5" s="297" t="str">
        <f>IFERROR(INDEX('School Tables'!$B$3:$B$365,MATCH('School Level Expenditures'!B5,'School Tables'!$D$3:$D$365,0)),"")</f>
        <v>Somersworth</v>
      </c>
      <c r="D5" s="294">
        <f>4648485.37+893571.18+6194.88+711.91</f>
        <v>5548963.3399999999</v>
      </c>
      <c r="E5" s="294">
        <f>1270283.77/2</f>
        <v>635141.88500000001</v>
      </c>
      <c r="F5" s="312">
        <f>D5+E5</f>
        <v>6184105.2249999996</v>
      </c>
      <c r="G5" s="297"/>
      <c r="H5" s="297"/>
      <c r="I5" s="126"/>
      <c r="N5"/>
    </row>
    <row r="6" spans="1:18" x14ac:dyDescent="0.2">
      <c r="A6" s="21" t="s">
        <v>1425</v>
      </c>
      <c r="B6" s="304">
        <f>IFERROR(VLOOKUP(A6,'School Tables'!$C$3:$D$365,2,FALSE),"")</f>
        <v>29203</v>
      </c>
      <c r="C6" s="297" t="str">
        <f>IFERROR(INDEX('School Tables'!$B$3:$B$365,MATCH('School Level Expenditures'!B6,'School Tables'!$D$3:$D$365,0)),"")</f>
        <v>Somersworth</v>
      </c>
      <c r="D6" s="294">
        <f>3660353.98+930043.48+3671.3+711.91</f>
        <v>4594780.67</v>
      </c>
      <c r="E6" s="294">
        <f>1270283.77/2</f>
        <v>635141.88500000001</v>
      </c>
      <c r="F6" s="307">
        <f t="shared" ref="F6:F20" si="0">D6+E6</f>
        <v>5229922.5549999997</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6049469.6299999999</v>
      </c>
      <c r="G24" s="303">
        <f>'DOE25'!L230+'DOE25'!L310</f>
        <v>6049469.629999998</v>
      </c>
      <c r="H24" s="337">
        <f>F24-G24</f>
        <v>0</v>
      </c>
      <c r="I24" s="309" t="str">
        <f>IF(H24=0,"","Does not match DOE25 page 8 and 12 Totals!!")</f>
        <v/>
      </c>
      <c r="N24"/>
    </row>
    <row r="25" spans="1:14" x14ac:dyDescent="0.2">
      <c r="A25" s="21" t="s">
        <v>1422</v>
      </c>
      <c r="B25" s="304">
        <f>IFERROR(VLOOKUP(A25,'School Tables'!$I$3:$J$80,2,FALSE),"")</f>
        <v>22830</v>
      </c>
      <c r="C25" s="297" t="str">
        <f t="array" ref="C25">IFERROR(INDEX('School Tables'!$H$3:$H$80,MATCH('School Level Expenditures'!B25,'School Tables'!$J$3:$J$80,0)),"")</f>
        <v>Somersworth</v>
      </c>
      <c r="D25" s="294">
        <v>5615571.7400000002</v>
      </c>
      <c r="E25" s="294">
        <v>433897.89</v>
      </c>
      <c r="F25" s="307">
        <f>D25+E25</f>
        <v>6049469.6299999999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7962168.3899999997</v>
      </c>
      <c r="G36" s="303">
        <f>'DOE25'!L248+'DOE25'!L329</f>
        <v>7962168.3900000006</v>
      </c>
      <c r="H36" s="337">
        <f>F36-G36</f>
        <v>0</v>
      </c>
      <c r="I36" s="309" t="str">
        <f>IF(H36=0,"","Does not match DOE25 page 9 and 13 Totals!!")</f>
        <v/>
      </c>
      <c r="N36"/>
    </row>
    <row r="37" spans="1:14" x14ac:dyDescent="0.2">
      <c r="A37" s="21" t="s">
        <v>1423</v>
      </c>
      <c r="B37" s="304">
        <f>IFERROR(VLOOKUP(A37,'School Tables'!$O$3:$P$118,2,FALSE),"")</f>
        <v>22845</v>
      </c>
      <c r="C37" s="297" t="str">
        <f t="array" ref="C37">IFERROR(INDEX('School Tables'!$N$3:$N$118,MATCH('School Level Expenditures'!B37,'School Tables'!$P$3:$P$118,0)),"")</f>
        <v>Somersworth</v>
      </c>
      <c r="D37" s="294">
        <v>7704930.04</v>
      </c>
      <c r="E37" s="294">
        <v>257238.35</v>
      </c>
      <c r="F37" s="307">
        <f>D37+E37</f>
        <v>7962168.3899999997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Somersworth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1662840.49</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457832.34</v>
      </c>
      <c r="D11" s="95">
        <f>'DOE25'!G12</f>
        <v>0</v>
      </c>
      <c r="E11" s="95">
        <f>'DOE25'!H12</f>
        <v>0</v>
      </c>
      <c r="F11" s="95">
        <f>'DOE25'!I12</f>
        <v>0</v>
      </c>
      <c r="G11" s="95">
        <f>'DOE25'!J12</f>
        <v>0</v>
      </c>
      <c r="H11" s="124"/>
      <c r="I11" s="124"/>
    </row>
    <row r="12" spans="1:9" x14ac:dyDescent="0.2">
      <c r="A12" s="1" t="s">
        <v>143</v>
      </c>
      <c r="B12" s="6">
        <v>140</v>
      </c>
      <c r="C12" s="95">
        <f>'DOE25'!F13</f>
        <v>47634.37</v>
      </c>
      <c r="D12" s="95">
        <f>'DOE25'!G13</f>
        <v>0</v>
      </c>
      <c r="E12" s="95">
        <f>'DOE25'!H13</f>
        <v>0</v>
      </c>
      <c r="F12" s="95">
        <f>'DOE25'!I13</f>
        <v>0</v>
      </c>
      <c r="G12" s="95">
        <f>'DOE25'!J13</f>
        <v>52093.15</v>
      </c>
      <c r="H12" s="124"/>
      <c r="I12" s="124"/>
    </row>
    <row r="13" spans="1:9" x14ac:dyDescent="0.2">
      <c r="A13" s="1" t="s">
        <v>144</v>
      </c>
      <c r="B13" s="6">
        <v>150</v>
      </c>
      <c r="C13" s="95">
        <f>'DOE25'!F14</f>
        <v>0</v>
      </c>
      <c r="D13" s="95">
        <f>'DOE25'!G14</f>
        <v>192134.28</v>
      </c>
      <c r="E13" s="95">
        <f>'DOE25'!H14</f>
        <v>597679.88</v>
      </c>
      <c r="F13" s="95">
        <f>'DOE25'!I14</f>
        <v>0</v>
      </c>
      <c r="G13" s="95">
        <f>'DOE25'!J14</f>
        <v>0</v>
      </c>
      <c r="H13" s="124"/>
      <c r="I13" s="124"/>
    </row>
    <row r="14" spans="1:9" x14ac:dyDescent="0.2">
      <c r="A14" s="1" t="s">
        <v>145</v>
      </c>
      <c r="B14" s="6">
        <v>160</v>
      </c>
      <c r="C14" s="24" t="s">
        <v>288</v>
      </c>
      <c r="D14" s="24" t="s">
        <v>288</v>
      </c>
      <c r="E14" s="24" t="s">
        <v>288</v>
      </c>
      <c r="F14" s="95">
        <f>'DOE25'!I15</f>
        <v>720000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505466.71</v>
      </c>
      <c r="D18" s="41">
        <f>SUM(D8:D17)</f>
        <v>192134.28</v>
      </c>
      <c r="E18" s="41">
        <f>SUM(E8:E17)</f>
        <v>597679.88</v>
      </c>
      <c r="F18" s="41">
        <f>SUM(F8:F17)</f>
        <v>2382840.4900000002</v>
      </c>
      <c r="G18" s="41">
        <f>SUM(G8:G17)</f>
        <v>52093.15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80022.47</v>
      </c>
      <c r="E21" s="95">
        <f>'DOE25'!H22</f>
        <v>223063.01</v>
      </c>
      <c r="F21" s="95">
        <f>'DOE25'!I22</f>
        <v>2391432.66</v>
      </c>
      <c r="G21" s="95">
        <f>'DOE25'!J22</f>
        <v>0</v>
      </c>
      <c r="H21" s="124"/>
      <c r="I21" s="124"/>
    </row>
    <row r="22" spans="1:9" x14ac:dyDescent="0.2">
      <c r="A22" s="1" t="s">
        <v>151</v>
      </c>
      <c r="B22" s="6">
        <v>410</v>
      </c>
      <c r="C22" s="95">
        <f>'DOE25'!F23</f>
        <v>505466.70999999996</v>
      </c>
      <c r="D22" s="95">
        <f>'DOE25'!G23</f>
        <v>0</v>
      </c>
      <c r="E22" s="95">
        <f>'DOE25'!H23</f>
        <v>0</v>
      </c>
      <c r="F22" s="95">
        <f>'DOE25'!I23</f>
        <v>0</v>
      </c>
      <c r="G22" s="95">
        <f>'DOE25'!J23</f>
        <v>0</v>
      </c>
      <c r="H22" s="124"/>
      <c r="I22" s="124"/>
    </row>
    <row r="23" spans="1:9" x14ac:dyDescent="0.2">
      <c r="A23" s="1" t="s">
        <v>152</v>
      </c>
      <c r="B23" s="6">
        <v>420</v>
      </c>
      <c r="C23" s="95">
        <f>'DOE25'!F24</f>
        <v>0</v>
      </c>
      <c r="D23" s="95">
        <f>'DOE25'!G24</f>
        <v>22461.48</v>
      </c>
      <c r="E23" s="95">
        <f>'DOE25'!H24</f>
        <v>251639.47</v>
      </c>
      <c r="F23" s="95">
        <f>'DOE25'!I24</f>
        <v>60961.42</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12591.67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505466.70999999996</v>
      </c>
      <c r="D31" s="41">
        <f>SUM(D21:D30)</f>
        <v>115075.62</v>
      </c>
      <c r="E31" s="41">
        <f>SUM(E21:E30)</f>
        <v>474702.48</v>
      </c>
      <c r="F31" s="41">
        <f>SUM(F21:F30)</f>
        <v>2452394.08</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77058.66</v>
      </c>
      <c r="E47" s="95">
        <f>'DOE25'!H48</f>
        <v>122977.4</v>
      </c>
      <c r="F47" s="95">
        <f>'DOE25'!I48</f>
        <v>-69553.59</v>
      </c>
      <c r="G47" s="95">
        <f>'DOE25'!J48</f>
        <v>52093.15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77058.66</v>
      </c>
      <c r="E50" s="41">
        <f>SUM(E34:E49)</f>
        <v>122977.4</v>
      </c>
      <c r="F50" s="41">
        <f>SUM(F34:F49)</f>
        <v>-69553.59</v>
      </c>
      <c r="G50" s="41">
        <f>SUM(G34:G49)</f>
        <v>52093.15</v>
      </c>
      <c r="H50" s="124"/>
      <c r="I50" s="124"/>
    </row>
    <row r="51" spans="1:9" ht="12" thickTop="1" x14ac:dyDescent="0.2">
      <c r="A51" s="38" t="s">
        <v>885</v>
      </c>
      <c r="B51" s="2"/>
      <c r="C51" s="41">
        <f>C50+C31</f>
        <v>505466.70999999996</v>
      </c>
      <c r="D51" s="41">
        <f>D50+D31</f>
        <v>192134.28</v>
      </c>
      <c r="E51" s="41">
        <f>E50+E31</f>
        <v>597679.88</v>
      </c>
      <c r="F51" s="41">
        <f>F50+F31</f>
        <v>2382840.4900000002</v>
      </c>
      <c r="G51" s="41">
        <f>G50+G31</f>
        <v>52093.15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14499062.189999999</v>
      </c>
      <c r="D56" s="95">
        <f>'DOE25'!G60</f>
        <v>0</v>
      </c>
      <c r="E56" s="95">
        <f>'DOE25'!H60</f>
        <v>0</v>
      </c>
      <c r="F56" s="95">
        <f>'DOE25'!I60</f>
        <v>0</v>
      </c>
      <c r="G56" s="95">
        <f>'DOE25'!J60</f>
        <v>0</v>
      </c>
      <c r="H56"/>
      <c r="I56"/>
    </row>
    <row r="57" spans="1:9" x14ac:dyDescent="0.2">
      <c r="A57" s="1" t="s">
        <v>164</v>
      </c>
      <c r="B57" s="6" t="s">
        <v>165</v>
      </c>
      <c r="C57" s="95">
        <f>'DOE25'!F79</f>
        <v>33600.020000000004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8927.2999999999993</v>
      </c>
      <c r="G59" s="95">
        <f>'DOE25'!J96</f>
        <v>0</v>
      </c>
      <c r="H59"/>
      <c r="I59"/>
    </row>
    <row r="60" spans="1:9" x14ac:dyDescent="0.2">
      <c r="A60" s="1" t="s">
        <v>170</v>
      </c>
      <c r="B60" s="118" t="s">
        <v>171</v>
      </c>
      <c r="C60" s="24" t="s">
        <v>288</v>
      </c>
      <c r="D60" s="95">
        <f>'DOE25'!G97</f>
        <v>228801.93000000005</v>
      </c>
      <c r="E60" s="24" t="s">
        <v>288</v>
      </c>
      <c r="F60" s="24" t="s">
        <v>288</v>
      </c>
      <c r="G60" s="24" t="s">
        <v>288</v>
      </c>
      <c r="H60"/>
      <c r="I60"/>
    </row>
    <row r="61" spans="1:9" ht="12" thickBot="1" x14ac:dyDescent="0.25">
      <c r="A61" s="1" t="s">
        <v>172</v>
      </c>
      <c r="B61" s="118" t="s">
        <v>173</v>
      </c>
      <c r="C61" s="95">
        <f>SUM('DOE25'!F98:F110)</f>
        <v>4955.5</v>
      </c>
      <c r="D61" s="95">
        <f>SUM('DOE25'!G98:G110)</f>
        <v>0</v>
      </c>
      <c r="E61" s="95">
        <f>SUM('DOE25'!H98:H110)</f>
        <v>0</v>
      </c>
      <c r="F61" s="95">
        <f>SUM('DOE25'!I98:I110)</f>
        <v>101688</v>
      </c>
      <c r="G61" s="95">
        <f>SUM('DOE25'!J98:J110)</f>
        <v>58994.16</v>
      </c>
      <c r="H61"/>
      <c r="I61"/>
    </row>
    <row r="62" spans="1:9" ht="12.75" thickTop="1" thickBot="1" x14ac:dyDescent="0.25">
      <c r="A62" s="29" t="s">
        <v>174</v>
      </c>
      <c r="B62" s="6"/>
      <c r="C62" s="130">
        <f>SUM(C57:C61)</f>
        <v>38555.520000000004</v>
      </c>
      <c r="D62" s="130">
        <f>SUM(D57:D61)</f>
        <v>228801.93000000005</v>
      </c>
      <c r="E62" s="130">
        <f>SUM(E57:E61)</f>
        <v>0</v>
      </c>
      <c r="F62" s="130">
        <f>SUM(F57:F61)</f>
        <v>110615.3</v>
      </c>
      <c r="G62" s="130">
        <f>SUM(G57:G61)</f>
        <v>58994.16</v>
      </c>
      <c r="H62"/>
      <c r="I62"/>
    </row>
    <row r="63" spans="1:9" ht="12" thickTop="1" x14ac:dyDescent="0.2">
      <c r="A63" s="29" t="s">
        <v>175</v>
      </c>
      <c r="B63" s="6"/>
      <c r="C63" s="22">
        <f>C56+C62</f>
        <v>14537617.709999999</v>
      </c>
      <c r="D63" s="22">
        <f>D56+D62</f>
        <v>228801.93000000005</v>
      </c>
      <c r="E63" s="22">
        <f>E56+E62</f>
        <v>0</v>
      </c>
      <c r="F63" s="22">
        <f>F56+F62</f>
        <v>110615.3</v>
      </c>
      <c r="G63" s="22">
        <f>G56+G62</f>
        <v>58994.16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7773559.3200000003</v>
      </c>
      <c r="D66" s="24" t="s">
        <v>288</v>
      </c>
      <c r="E66" s="24" t="s">
        <v>288</v>
      </c>
      <c r="F66" s="24" t="s">
        <v>288</v>
      </c>
      <c r="G66" s="24" t="s">
        <v>288</v>
      </c>
      <c r="H66"/>
      <c r="I66"/>
    </row>
    <row r="67" spans="1:9" x14ac:dyDescent="0.2">
      <c r="A67" s="1" t="s">
        <v>770</v>
      </c>
      <c r="B67" s="6">
        <v>3112</v>
      </c>
      <c r="C67" s="95">
        <f>'DOE25'!F118</f>
        <v>1966887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9891.75</v>
      </c>
      <c r="D69" s="95">
        <f>'DOE25'!G120</f>
        <v>33118.9</v>
      </c>
      <c r="E69" s="95">
        <f>'DOE25'!H120</f>
        <v>0</v>
      </c>
      <c r="F69" s="95">
        <f>'DOE25'!I120</f>
        <v>0</v>
      </c>
      <c r="G69" s="95">
        <f>'DOE25'!J120</f>
        <v>0</v>
      </c>
      <c r="H69"/>
      <c r="I69"/>
    </row>
    <row r="70" spans="1:9" ht="12" thickTop="1" x14ac:dyDescent="0.2">
      <c r="A70" s="29" t="s">
        <v>252</v>
      </c>
      <c r="B70" s="2"/>
      <c r="C70" s="139">
        <f>SUM(C66:C69)</f>
        <v>9750338.0700000003</v>
      </c>
      <c r="D70" s="139">
        <f>D69</f>
        <v>33118.9</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1221459.3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396749.71</v>
      </c>
      <c r="D75" s="24" t="s">
        <v>288</v>
      </c>
      <c r="E75" s="24" t="s">
        <v>288</v>
      </c>
      <c r="F75" s="24" t="s">
        <v>288</v>
      </c>
      <c r="G75" s="24" t="s">
        <v>288</v>
      </c>
      <c r="H75"/>
      <c r="I75"/>
    </row>
    <row r="76" spans="1:9" x14ac:dyDescent="0.2">
      <c r="A76" s="1" t="s">
        <v>257</v>
      </c>
      <c r="B76" s="6" t="s">
        <v>179</v>
      </c>
      <c r="C76" s="95">
        <f>SUM('DOE25'!F127:F130)</f>
        <v>37980.050000000003</v>
      </c>
      <c r="D76" s="24" t="s">
        <v>288</v>
      </c>
      <c r="E76" s="95">
        <f>SUM('DOE25'!H127:H130)</f>
        <v>0</v>
      </c>
      <c r="F76" s="95">
        <f>SUM('DOE25'!I127:I130)</f>
        <v>0</v>
      </c>
      <c r="G76" s="24" t="s">
        <v>288</v>
      </c>
      <c r="H76"/>
      <c r="I76"/>
    </row>
    <row r="77" spans="1:9" ht="12" thickBot="1" x14ac:dyDescent="0.25">
      <c r="A77" s="1" t="s">
        <v>258</v>
      </c>
      <c r="B77" s="6" t="s">
        <v>180</v>
      </c>
      <c r="C77" s="95">
        <f>SUM('DOE25'!F131:F135)</f>
        <v>36905.839999999997</v>
      </c>
      <c r="D77" s="95">
        <f>SUM('DOE25'!G131:G135)</f>
        <v>9020.6200000000008</v>
      </c>
      <c r="E77" s="95">
        <f>SUM('DOE25'!H131:H135)</f>
        <v>0</v>
      </c>
      <c r="F77" s="95">
        <f>SUM('DOE25'!I131:I135)</f>
        <v>720000</v>
      </c>
      <c r="G77" s="95">
        <f>SUM('DOE25'!J131:J135)</f>
        <v>0</v>
      </c>
      <c r="H77"/>
      <c r="I77"/>
    </row>
    <row r="78" spans="1:9" ht="12.75" thickTop="1" thickBot="1" x14ac:dyDescent="0.25">
      <c r="A78" s="29" t="s">
        <v>259</v>
      </c>
      <c r="B78" s="6"/>
      <c r="C78" s="130">
        <f>SUM(C72:C77)</f>
        <v>1693094.9000000001</v>
      </c>
      <c r="D78" s="130">
        <f>SUM(D72:D77)</f>
        <v>9020.6200000000008</v>
      </c>
      <c r="E78" s="130">
        <f>SUM(E72:E77)</f>
        <v>0</v>
      </c>
      <c r="F78" s="130">
        <f>SUM(F72:F77)</f>
        <v>720000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11443432.970000001</v>
      </c>
      <c r="D81" s="130">
        <f>SUM(D79:D80)+D78+D70</f>
        <v>42139.520000000004</v>
      </c>
      <c r="E81" s="130">
        <f>SUM(E79:E80)+E78+E70</f>
        <v>0</v>
      </c>
      <c r="F81" s="130">
        <f>SUM(F79:F80)+F78+F70</f>
        <v>720000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44662.53</v>
      </c>
      <c r="D88" s="341">
        <f>SUM('DOE25'!G153:G162)</f>
        <v>449513.54</v>
      </c>
      <c r="E88" s="341">
        <f>SUM('DOE25'!H153:H162)</f>
        <v>1958208.94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44662.53</v>
      </c>
      <c r="D91" s="131">
        <f>SUM(D85:D90)</f>
        <v>449513.54</v>
      </c>
      <c r="E91" s="131">
        <f>SUM(E85:E90)</f>
        <v>1958208.94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26025713.210000001</v>
      </c>
      <c r="D104" s="86">
        <f>D63+D81+D91+D103</f>
        <v>720454.99</v>
      </c>
      <c r="E104" s="86">
        <f>E63+E81+E91+E103</f>
        <v>1958208.94</v>
      </c>
      <c r="F104" s="86">
        <f>F63+F81+F91+F103</f>
        <v>830615.3</v>
      </c>
      <c r="G104" s="86">
        <f>G63+G81+G103</f>
        <v>58994.16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8285242.1999999993</v>
      </c>
      <c r="D109" s="24" t="s">
        <v>288</v>
      </c>
      <c r="E109" s="95">
        <f>('DOE25'!L277)+('DOE25'!L296)+('DOE25'!L315)</f>
        <v>835577.47999999986</v>
      </c>
      <c r="F109" s="24" t="s">
        <v>288</v>
      </c>
      <c r="G109" s="24" t="s">
        <v>288</v>
      </c>
    </row>
    <row r="110" spans="1:7" x14ac:dyDescent="0.2">
      <c r="A110" t="s">
        <v>198</v>
      </c>
      <c r="B110" s="32" t="s">
        <v>199</v>
      </c>
      <c r="C110" s="95">
        <f>('DOE25'!L199)+('DOE25'!L217)+('DOE25'!L235)</f>
        <v>5727027.5099999998</v>
      </c>
      <c r="D110" s="24" t="s">
        <v>288</v>
      </c>
      <c r="E110" s="95">
        <f>('DOE25'!L278)+('DOE25'!L297)+('DOE25'!L316)</f>
        <v>161378.19999999998</v>
      </c>
      <c r="F110" s="24" t="s">
        <v>288</v>
      </c>
      <c r="G110" s="24" t="s">
        <v>288</v>
      </c>
    </row>
    <row r="111" spans="1:7" x14ac:dyDescent="0.2">
      <c r="A111" t="s">
        <v>200</v>
      </c>
      <c r="B111" s="32" t="s">
        <v>165</v>
      </c>
      <c r="C111" s="95">
        <f>('DOE25'!L200)+('DOE25'!L218)+('DOE25'!L236)</f>
        <v>755566.85000000009</v>
      </c>
      <c r="D111" s="24" t="s">
        <v>288</v>
      </c>
      <c r="E111" s="95">
        <f>('DOE25'!L279)+('DOE25'!L298)+('DOE25'!L317)</f>
        <v>70910.5</v>
      </c>
      <c r="F111" s="24" t="s">
        <v>288</v>
      </c>
      <c r="G111" s="24" t="s">
        <v>288</v>
      </c>
    </row>
    <row r="112" spans="1:7" x14ac:dyDescent="0.2">
      <c r="A112" t="s">
        <v>201</v>
      </c>
      <c r="B112" s="32" t="s">
        <v>167</v>
      </c>
      <c r="C112" s="95">
        <f>('DOE25'!L201)+('DOE25'!L219)+('DOE25'!L237)</f>
        <v>145340.26999999999</v>
      </c>
      <c r="D112" s="24" t="s">
        <v>288</v>
      </c>
      <c r="E112" s="95">
        <f>+('DOE25'!L280)+('DOE25'!L299)+('DOE25'!L318)</f>
        <v>251366.88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14913176.829999998</v>
      </c>
      <c r="D115" s="86">
        <f>SUM(D109:D114)</f>
        <v>0</v>
      </c>
      <c r="E115" s="86">
        <f>SUM(E109:E114)</f>
        <v>1319233.0599999996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1824019.88</v>
      </c>
      <c r="D118" s="24" t="s">
        <v>288</v>
      </c>
      <c r="E118" s="95">
        <f>+('DOE25'!L282)+('DOE25'!L301)+('DOE25'!L320)</f>
        <v>312805.06</v>
      </c>
      <c r="F118" s="24" t="s">
        <v>288</v>
      </c>
      <c r="G118" s="24" t="s">
        <v>288</v>
      </c>
    </row>
    <row r="119" spans="1:7" x14ac:dyDescent="0.2">
      <c r="A119" t="s">
        <v>208</v>
      </c>
      <c r="B119" s="32" t="s">
        <v>209</v>
      </c>
      <c r="C119" s="95">
        <f>('DOE25'!L204)+('DOE25'!L222)+('DOE25'!L240)</f>
        <v>391760.49</v>
      </c>
      <c r="D119" s="24" t="s">
        <v>288</v>
      </c>
      <c r="E119" s="95">
        <f>+('DOE25'!L283)+('DOE25'!L302)+('DOE25'!L321)</f>
        <v>157830.06</v>
      </c>
      <c r="F119" s="24" t="s">
        <v>288</v>
      </c>
      <c r="G119" s="24" t="s">
        <v>288</v>
      </c>
    </row>
    <row r="120" spans="1:7" x14ac:dyDescent="0.2">
      <c r="A120" t="s">
        <v>210</v>
      </c>
      <c r="B120" s="32" t="s">
        <v>211</v>
      </c>
      <c r="C120" s="95">
        <f>('DOE25'!L205)+('DOE25'!L223)+('DOE25'!L241)</f>
        <v>1019626.4</v>
      </c>
      <c r="D120" s="24" t="s">
        <v>288</v>
      </c>
      <c r="E120" s="95">
        <f>+('DOE25'!L284)+('DOE25'!L303)+('DOE25'!L322)</f>
        <v>59373.64</v>
      </c>
      <c r="F120" s="24" t="s">
        <v>288</v>
      </c>
      <c r="G120" s="24" t="s">
        <v>288</v>
      </c>
    </row>
    <row r="121" spans="1:7" x14ac:dyDescent="0.2">
      <c r="A121" t="s">
        <v>212</v>
      </c>
      <c r="B121" s="32" t="s">
        <v>213</v>
      </c>
      <c r="C121" s="95">
        <f>('DOE25'!L206)+('DOE25'!L224)+('DOE25'!L242)</f>
        <v>1730821.19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98212.180000000008</v>
      </c>
      <c r="F122" s="24" t="s">
        <v>288</v>
      </c>
      <c r="G122" s="24" t="s">
        <v>288</v>
      </c>
    </row>
    <row r="123" spans="1:7" x14ac:dyDescent="0.2">
      <c r="A123" t="s">
        <v>216</v>
      </c>
      <c r="B123" s="32" t="s">
        <v>217</v>
      </c>
      <c r="C123" s="95">
        <f>('DOE25'!L208)+('DOE25'!L226)+('DOE25'!L244)</f>
        <v>2244789.7599999998</v>
      </c>
      <c r="D123" s="24" t="s">
        <v>288</v>
      </c>
      <c r="E123" s="95">
        <f>+('DOE25'!L287)+('DOE25'!L306)+('DOE25'!L325)</f>
        <v>0</v>
      </c>
      <c r="F123" s="24" t="s">
        <v>288</v>
      </c>
      <c r="G123" s="24" t="s">
        <v>288</v>
      </c>
    </row>
    <row r="124" spans="1:7" x14ac:dyDescent="0.2">
      <c r="A124" t="s">
        <v>218</v>
      </c>
      <c r="B124" s="32" t="s">
        <v>219</v>
      </c>
      <c r="C124" s="95">
        <f>('DOE25'!L209)+('DOE25'!L227)+('DOE25'!L245+'DOE25'!L255)</f>
        <v>993463.23</v>
      </c>
      <c r="D124" s="24" t="s">
        <v>288</v>
      </c>
      <c r="E124" s="95">
        <f>+('DOE25'!L288)+('DOE25'!L307)+('DOE25'!L326)</f>
        <v>13966.009999999998</v>
      </c>
      <c r="F124" s="24" t="s">
        <v>288</v>
      </c>
      <c r="G124" s="24" t="s">
        <v>288</v>
      </c>
    </row>
    <row r="125" spans="1:7" x14ac:dyDescent="0.2">
      <c r="A125" t="s">
        <v>220</v>
      </c>
      <c r="B125" s="32" t="s">
        <v>221</v>
      </c>
      <c r="C125" s="95">
        <f>('DOE25'!L210)+('DOE25'!L228)+('DOE25'!L246)</f>
        <v>346588.01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707970.34</v>
      </c>
      <c r="E127" s="24" t="s">
        <v>288</v>
      </c>
      <c r="F127" s="24" t="s">
        <v>288</v>
      </c>
      <c r="G127" s="24" t="s">
        <v>288</v>
      </c>
    </row>
    <row r="128" spans="1:7" ht="12.75" thickTop="1" thickBot="1" x14ac:dyDescent="0.25">
      <c r="A128" s="33" t="s">
        <v>226</v>
      </c>
      <c r="C128" s="86">
        <f>SUM(C118:C127)</f>
        <v>8551068.959999999</v>
      </c>
      <c r="D128" s="86">
        <f>SUM(D118:D127)</f>
        <v>707970.34</v>
      </c>
      <c r="E128" s="86">
        <f>SUM(E118:E127)</f>
        <v>642186.95000000007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714457</v>
      </c>
      <c r="D130" s="24" t="s">
        <v>288</v>
      </c>
      <c r="E130" s="129">
        <f>'DOE25'!L337</f>
        <v>0</v>
      </c>
      <c r="F130" s="129">
        <f>SUM('DOE25'!L375:'DOE25'!L381)</f>
        <v>2094196.73</v>
      </c>
      <c r="G130" s="24" t="s">
        <v>288</v>
      </c>
    </row>
    <row r="131" spans="1:7" x14ac:dyDescent="0.2">
      <c r="A131" t="s">
        <v>229</v>
      </c>
      <c r="B131" s="32">
        <v>5110</v>
      </c>
      <c r="C131" s="95">
        <f>'DOE25'!L261</f>
        <v>1240480.48</v>
      </c>
      <c r="D131" s="24" t="s">
        <v>288</v>
      </c>
      <c r="E131" s="129">
        <f>'DOE25'!L342</f>
        <v>0</v>
      </c>
      <c r="F131" s="24" t="s">
        <v>288</v>
      </c>
      <c r="G131" s="24" t="s">
        <v>288</v>
      </c>
    </row>
    <row r="132" spans="1:7" x14ac:dyDescent="0.2">
      <c r="A132" t="s">
        <v>230</v>
      </c>
      <c r="B132" s="32">
        <v>5120</v>
      </c>
      <c r="C132" s="95">
        <f>'DOE25'!L262</f>
        <v>606529.93999999994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58994.16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-58994.16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2561467.42</v>
      </c>
      <c r="D144" s="141">
        <f>SUM(D130:D143)</f>
        <v>0</v>
      </c>
      <c r="E144" s="141">
        <f>SUM(E130:E143)</f>
        <v>0</v>
      </c>
      <c r="F144" s="141">
        <f>SUM(F130:F143)</f>
        <v>2094196.73</v>
      </c>
      <c r="G144" s="141">
        <f>SUM(G130:G143)</f>
        <v>0</v>
      </c>
    </row>
    <row r="145" spans="1:9" ht="12.75" thickTop="1" thickBot="1" x14ac:dyDescent="0.25">
      <c r="A145" s="33" t="s">
        <v>244</v>
      </c>
      <c r="C145" s="86">
        <f>(C115+C128+C144)</f>
        <v>26025713.210000001</v>
      </c>
      <c r="D145" s="86">
        <f>(D115+D128+D144)</f>
        <v>707970.34</v>
      </c>
      <c r="E145" s="86">
        <f>(E115+E128+E144)</f>
        <v>1961420.0099999998</v>
      </c>
      <c r="F145" s="86">
        <f>(F115+F128+F144)</f>
        <v>2094196.73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15</v>
      </c>
      <c r="E151" s="153">
        <f>'DOE25'!I491</f>
        <v>0</v>
      </c>
      <c r="F151" s="153">
        <f>'DOE25'!J491</f>
        <v>0</v>
      </c>
      <c r="G151" s="24" t="s">
        <v>288</v>
      </c>
    </row>
    <row r="152" spans="1:9" x14ac:dyDescent="0.2">
      <c r="A152" s="136" t="s">
        <v>28</v>
      </c>
      <c r="B152" s="152" t="str">
        <f>'DOE25'!F492</f>
        <v>01/10</v>
      </c>
      <c r="C152" s="152" t="str">
        <f>'DOE25'!G492</f>
        <v>08/13</v>
      </c>
      <c r="D152" s="152">
        <f>'DOE25'!H492</f>
        <v>216</v>
      </c>
      <c r="E152" s="152">
        <f>'DOE25'!I492</f>
        <v>0</v>
      </c>
      <c r="F152" s="152">
        <f>'DOE25'!J492</f>
        <v>0</v>
      </c>
      <c r="G152" s="24" t="s">
        <v>288</v>
      </c>
    </row>
    <row r="153" spans="1:9" x14ac:dyDescent="0.2">
      <c r="A153" s="136" t="s">
        <v>29</v>
      </c>
      <c r="B153" s="152" t="str">
        <f>'DOE25'!F493</f>
        <v>01/30</v>
      </c>
      <c r="C153" s="152" t="str">
        <f>'DOE25'!G493</f>
        <v>08/28</v>
      </c>
      <c r="D153" s="152">
        <f>'DOE25'!H493</f>
        <v>831</v>
      </c>
      <c r="E153" s="152">
        <f>'DOE25'!I493</f>
        <v>0</v>
      </c>
      <c r="F153" s="152">
        <f>'DOE25'!J493</f>
        <v>0</v>
      </c>
      <c r="G153" s="24" t="s">
        <v>288</v>
      </c>
    </row>
    <row r="154" spans="1:9" x14ac:dyDescent="0.2">
      <c r="A154" s="136" t="s">
        <v>30</v>
      </c>
      <c r="B154" s="137">
        <f>'DOE25'!F494</f>
        <v>18953000</v>
      </c>
      <c r="C154" s="137">
        <f>'DOE25'!G494</f>
        <v>1181700</v>
      </c>
      <c r="D154" s="137">
        <f>'DOE25'!H494</f>
        <v>1453925</v>
      </c>
      <c r="E154" s="137">
        <f>'DOE25'!I494</f>
        <v>1640000</v>
      </c>
      <c r="F154" s="137">
        <f>'DOE25'!J494</f>
        <v>0</v>
      </c>
      <c r="G154" s="24" t="s">
        <v>288</v>
      </c>
    </row>
    <row r="155" spans="1:9" x14ac:dyDescent="0.2">
      <c r="A155" s="136" t="s">
        <v>31</v>
      </c>
      <c r="B155" s="137">
        <f>'DOE25'!F495</f>
        <v>3.73</v>
      </c>
      <c r="C155" s="137">
        <f>'DOE25'!G495</f>
        <v>3.14</v>
      </c>
      <c r="D155" s="137">
        <f>'DOE25'!H495</f>
        <v>2.16</v>
      </c>
      <c r="E155" s="137">
        <f>'DOE25'!I495</f>
        <v>0</v>
      </c>
      <c r="F155" s="137">
        <f>'DOE25'!J495</f>
        <v>0</v>
      </c>
      <c r="G155" s="24" t="s">
        <v>288</v>
      </c>
    </row>
    <row r="156" spans="1:9" x14ac:dyDescent="0.2">
      <c r="A156" s="22" t="s">
        <v>32</v>
      </c>
      <c r="B156" s="137">
        <f>'DOE25'!F496</f>
        <v>15409214</v>
      </c>
      <c r="C156" s="137">
        <f>'DOE25'!G496</f>
        <v>765600</v>
      </c>
      <c r="D156" s="137">
        <f>'DOE25'!H496</f>
        <v>1547210</v>
      </c>
      <c r="E156" s="137">
        <f>'DOE25'!I496</f>
        <v>1483500</v>
      </c>
      <c r="F156" s="137">
        <f>'DOE25'!J496</f>
        <v>0</v>
      </c>
      <c r="G156" s="138">
        <f>SUM(B156:F156)</f>
        <v>19205524</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945130.48</v>
      </c>
      <c r="C158" s="137">
        <f>'DOE25'!G498</f>
        <v>81850</v>
      </c>
      <c r="D158" s="137">
        <f>'DOE25'!H498</f>
        <v>100000</v>
      </c>
      <c r="E158" s="137">
        <f>'DOE25'!I498</f>
        <v>98500</v>
      </c>
      <c r="F158" s="137">
        <f>'DOE25'!J498</f>
        <v>0</v>
      </c>
      <c r="G158" s="138">
        <f t="shared" si="0"/>
        <v>1225480.48</v>
      </c>
    </row>
    <row r="159" spans="1:9" x14ac:dyDescent="0.2">
      <c r="A159" s="22" t="s">
        <v>35</v>
      </c>
      <c r="B159" s="137">
        <f>'DOE25'!F499</f>
        <v>7438939.0999999996</v>
      </c>
      <c r="C159" s="137">
        <f>'DOE25'!G499</f>
        <v>725000</v>
      </c>
      <c r="D159" s="137">
        <f>'DOE25'!H499</f>
        <v>1155000</v>
      </c>
      <c r="E159" s="137">
        <f>'DOE25'!I499</f>
        <v>1385000</v>
      </c>
      <c r="F159" s="137">
        <f>'DOE25'!J499</f>
        <v>0</v>
      </c>
      <c r="G159" s="138">
        <f t="shared" si="0"/>
        <v>10703939.1</v>
      </c>
    </row>
    <row r="160" spans="1:9" x14ac:dyDescent="0.2">
      <c r="A160" s="22" t="s">
        <v>36</v>
      </c>
      <c r="B160" s="137">
        <f>'DOE25'!F500</f>
        <v>6571463.4000000004</v>
      </c>
      <c r="C160" s="137">
        <f>'DOE25'!G500</f>
        <v>150305.26999999999</v>
      </c>
      <c r="D160" s="137">
        <f>'DOE25'!H500</f>
        <v>244450.72</v>
      </c>
      <c r="E160" s="137">
        <f>'DOE25'!I500</f>
        <v>426323.88</v>
      </c>
      <c r="F160" s="137">
        <f>'DOE25'!J500</f>
        <v>0</v>
      </c>
      <c r="G160" s="138">
        <f t="shared" si="0"/>
        <v>7392543.2699999996</v>
      </c>
    </row>
    <row r="161" spans="1:7" x14ac:dyDescent="0.2">
      <c r="A161" s="22" t="s">
        <v>37</v>
      </c>
      <c r="B161" s="137">
        <f>'DOE25'!F501</f>
        <v>14010402.5</v>
      </c>
      <c r="C161" s="137">
        <f>'DOE25'!G501</f>
        <v>875305.27</v>
      </c>
      <c r="D161" s="137">
        <f>'DOE25'!H501</f>
        <v>1399450.72</v>
      </c>
      <c r="E161" s="137">
        <f>'DOE25'!I501</f>
        <v>1811323.88</v>
      </c>
      <c r="F161" s="137">
        <f>'DOE25'!J501</f>
        <v>0</v>
      </c>
      <c r="G161" s="138">
        <f t="shared" si="0"/>
        <v>18096482.370000001</v>
      </c>
    </row>
    <row r="162" spans="1:7" x14ac:dyDescent="0.2">
      <c r="A162" s="22" t="s">
        <v>38</v>
      </c>
      <c r="B162" s="137">
        <f>'DOE25'!F502</f>
        <v>904771.77</v>
      </c>
      <c r="C162" s="137">
        <f>'DOE25'!G502</f>
        <v>81850</v>
      </c>
      <c r="D162" s="137">
        <f>'DOE25'!H502</f>
        <v>100000</v>
      </c>
      <c r="E162" s="137">
        <f>'DOE25'!I502</f>
        <v>100000</v>
      </c>
      <c r="F162" s="137">
        <f>'DOE25'!J502</f>
        <v>0</v>
      </c>
      <c r="G162" s="138">
        <f t="shared" si="0"/>
        <v>1186621.77</v>
      </c>
    </row>
    <row r="163" spans="1:7" x14ac:dyDescent="0.2">
      <c r="A163" s="22" t="s">
        <v>39</v>
      </c>
      <c r="B163" s="137">
        <f>'DOE25'!F503</f>
        <v>493438.73</v>
      </c>
      <c r="C163" s="137">
        <f>'DOE25'!G503</f>
        <v>32281.759999999998</v>
      </c>
      <c r="D163" s="137">
        <f>'DOE25'!H503</f>
        <v>43239.76</v>
      </c>
      <c r="E163" s="137">
        <f>'DOE25'!I503</f>
        <v>62291.26</v>
      </c>
      <c r="F163" s="137">
        <f>'DOE25'!J503</f>
        <v>0</v>
      </c>
      <c r="G163" s="138">
        <f t="shared" si="0"/>
        <v>631251.51</v>
      </c>
    </row>
    <row r="164" spans="1:7" x14ac:dyDescent="0.2">
      <c r="A164" s="22" t="s">
        <v>246</v>
      </c>
      <c r="B164" s="137">
        <f>'DOE25'!F504</f>
        <v>1398210.5</v>
      </c>
      <c r="C164" s="137">
        <f>'DOE25'!G504</f>
        <v>114131.76</v>
      </c>
      <c r="D164" s="137">
        <f>'DOE25'!H504</f>
        <v>143239.76</v>
      </c>
      <c r="E164" s="137">
        <f>'DOE25'!I504</f>
        <v>162291.26</v>
      </c>
      <c r="F164" s="137">
        <f>'DOE25'!J504</f>
        <v>0</v>
      </c>
      <c r="G164" s="138">
        <f t="shared" si="0"/>
        <v>1817873.28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Somersworth School District</v>
      </c>
    </row>
    <row r="3" spans="1:4" x14ac:dyDescent="0.2">
      <c r="B3" s="188" t="s">
        <v>1587</v>
      </c>
    </row>
    <row r="4" spans="1:4" x14ac:dyDescent="0.2">
      <c r="B4" t="s">
        <v>61</v>
      </c>
      <c r="C4" s="179">
        <f>IF('DOE25'!F666+'DOE25'!F671=0,0,ROUND('DOE25'!F673,0))</f>
        <v>15651</v>
      </c>
    </row>
    <row r="5" spans="1:4" x14ac:dyDescent="0.2">
      <c r="B5" t="s">
        <v>700</v>
      </c>
      <c r="C5" s="179">
        <f>IF('DOE25'!G666+'DOE25'!G671=0,0,ROUND('DOE25'!G673,0))</f>
        <v>15581</v>
      </c>
    </row>
    <row r="6" spans="1:4" x14ac:dyDescent="0.2">
      <c r="B6" t="s">
        <v>62</v>
      </c>
      <c r="C6" s="179">
        <f>IF('DOE25'!H666+'DOE25'!H671=0,0,ROUND('DOE25'!H673,0))</f>
        <v>16337</v>
      </c>
    </row>
    <row r="7" spans="1:4" x14ac:dyDescent="0.2">
      <c r="B7" t="s">
        <v>701</v>
      </c>
      <c r="C7" s="179">
        <f>IF('DOE25'!I666+'DOE25'!I671=0,0,ROUND('DOE25'!I673,0))</f>
        <v>15833</v>
      </c>
    </row>
    <row r="9" spans="1:4" x14ac:dyDescent="0.2">
      <c r="A9" s="187" t="s">
        <v>94</v>
      </c>
      <c r="B9" s="188" t="s">
        <v>1588</v>
      </c>
      <c r="C9" s="181" t="s">
        <v>720</v>
      </c>
      <c r="D9" s="181" t="s">
        <v>721</v>
      </c>
    </row>
    <row r="10" spans="1:4" x14ac:dyDescent="0.2">
      <c r="A10">
        <v>1100</v>
      </c>
      <c r="B10" t="s">
        <v>702</v>
      </c>
      <c r="C10" s="179">
        <f>ROUND('DOE25'!L198+'DOE25'!L216+'DOE25'!L234+'DOE25'!L277+'DOE25'!L296+'DOE25'!L315,0)</f>
        <v>9120820</v>
      </c>
      <c r="D10" s="182">
        <f>ROUND((C10/$C$28)*100,1)</f>
        <v>34.4</v>
      </c>
    </row>
    <row r="11" spans="1:4" x14ac:dyDescent="0.2">
      <c r="A11">
        <v>1200</v>
      </c>
      <c r="B11" t="s">
        <v>703</v>
      </c>
      <c r="C11" s="179">
        <f>ROUND('DOE25'!L199+'DOE25'!L217+'DOE25'!L235+'DOE25'!L278+'DOE25'!L297+'DOE25'!L316,0)</f>
        <v>5888406</v>
      </c>
      <c r="D11" s="182">
        <f>ROUND((C11/$C$28)*100,1)</f>
        <v>22.2</v>
      </c>
    </row>
    <row r="12" spans="1:4" x14ac:dyDescent="0.2">
      <c r="A12">
        <v>1300</v>
      </c>
      <c r="B12" t="s">
        <v>704</v>
      </c>
      <c r="C12" s="179">
        <f>ROUND('DOE25'!L200+'DOE25'!L218+'DOE25'!L236+'DOE25'!L279+'DOE25'!L298+'DOE25'!L317,0)</f>
        <v>826477</v>
      </c>
      <c r="D12" s="182">
        <f>ROUND((C12/$C$28)*100,1)</f>
        <v>3.1</v>
      </c>
    </row>
    <row r="13" spans="1:4" x14ac:dyDescent="0.2">
      <c r="A13">
        <v>1400</v>
      </c>
      <c r="B13" t="s">
        <v>705</v>
      </c>
      <c r="C13" s="179">
        <f>ROUND('DOE25'!L201+'DOE25'!L219+'DOE25'!L237+'DOE25'!L280+'DOE25'!L299+'DOE25'!L318,0)</f>
        <v>396707</v>
      </c>
      <c r="D13" s="182">
        <f>ROUND((C13/$C$28)*100,1)</f>
        <v>1.5</v>
      </c>
    </row>
    <row r="14" spans="1:4" x14ac:dyDescent="0.2">
      <c r="D14" s="182"/>
    </row>
    <row r="15" spans="1:4" x14ac:dyDescent="0.2">
      <c r="A15">
        <v>2100</v>
      </c>
      <c r="B15" t="s">
        <v>706</v>
      </c>
      <c r="C15" s="179">
        <f>ROUND('DOE25'!L203+'DOE25'!L221+'DOE25'!L239+'DOE25'!L282+'DOE25'!L301+'DOE25'!L320,0)</f>
        <v>2136825</v>
      </c>
      <c r="D15" s="182">
        <f t="shared" ref="D15:D27" si="0">ROUND((C15/$C$28)*100,1)</f>
        <v>8.1</v>
      </c>
    </row>
    <row r="16" spans="1:4" x14ac:dyDescent="0.2">
      <c r="A16">
        <v>2200</v>
      </c>
      <c r="B16" t="s">
        <v>707</v>
      </c>
      <c r="C16" s="179">
        <f>ROUND('DOE25'!L204+'DOE25'!L222+'DOE25'!L240+'DOE25'!L283+'DOE25'!L302+'DOE25'!L321,0)</f>
        <v>549591</v>
      </c>
      <c r="D16" s="182">
        <f t="shared" si="0"/>
        <v>2.1</v>
      </c>
    </row>
    <row r="17" spans="1:4" x14ac:dyDescent="0.2">
      <c r="A17" s="183" t="s">
        <v>723</v>
      </c>
      <c r="B17" t="s">
        <v>738</v>
      </c>
      <c r="C17" s="179">
        <f>ROUND('DOE25'!L205+'DOE25'!L210+'DOE25'!L223+'DOE25'!L228+'DOE25'!L241+'DOE25'!L246+'DOE25'!L284+'DOE25'!L289+'DOE25'!L303+'DOE25'!L308+'DOE25'!L322+'DOE25'!L327,0)</f>
        <v>1425588</v>
      </c>
      <c r="D17" s="182">
        <f t="shared" si="0"/>
        <v>5.4</v>
      </c>
    </row>
    <row r="18" spans="1:4" x14ac:dyDescent="0.2">
      <c r="A18">
        <v>2400</v>
      </c>
      <c r="B18" t="s">
        <v>711</v>
      </c>
      <c r="C18" s="179">
        <f>ROUND('DOE25'!L206+'DOE25'!L224+'DOE25'!L242+'DOE25'!L285+'DOE25'!L304+'DOE25'!L323,0)</f>
        <v>1730821</v>
      </c>
      <c r="D18" s="182">
        <f t="shared" si="0"/>
        <v>6.5</v>
      </c>
    </row>
    <row r="19" spans="1:4" x14ac:dyDescent="0.2">
      <c r="A19">
        <v>2500</v>
      </c>
      <c r="B19" t="s">
        <v>708</v>
      </c>
      <c r="C19" s="179">
        <f>ROUND('DOE25'!L207+'DOE25'!L225+'DOE25'!L243+'DOE25'!L286+'DOE25'!L305+'DOE25'!L324,0)</f>
        <v>98212</v>
      </c>
      <c r="D19" s="182">
        <f t="shared" si="0"/>
        <v>0.4</v>
      </c>
    </row>
    <row r="20" spans="1:4" x14ac:dyDescent="0.2">
      <c r="A20">
        <v>2600</v>
      </c>
      <c r="B20" t="s">
        <v>709</v>
      </c>
      <c r="C20" s="179">
        <f>ROUND('DOE25'!L208+'DOE25'!L226+'DOE25'!L244+'DOE25'!L287+'DOE25'!L306+'DOE25'!L325,0)</f>
        <v>2244790</v>
      </c>
      <c r="D20" s="182">
        <f t="shared" si="0"/>
        <v>8.5</v>
      </c>
    </row>
    <row r="21" spans="1:4" x14ac:dyDescent="0.2">
      <c r="A21">
        <v>2700</v>
      </c>
      <c r="B21" t="s">
        <v>710</v>
      </c>
      <c r="C21" s="179">
        <f>ROUND('DOE25'!L209+'DOE25'!L227+'DOE25'!L245+'DOE25'!L288+'DOE25'!L307+'DOE25'!L326,0)</f>
        <v>1007429</v>
      </c>
      <c r="D21" s="182">
        <f t="shared" si="0"/>
        <v>3.8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606530</v>
      </c>
      <c r="D25" s="182">
        <f t="shared" si="0"/>
        <v>2.2999999999999998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479168.06999999995</v>
      </c>
      <c r="D27" s="182">
        <f t="shared" si="0"/>
        <v>1.8</v>
      </c>
    </row>
    <row r="28" spans="1:4" x14ac:dyDescent="0.2">
      <c r="B28" s="187" t="s">
        <v>719</v>
      </c>
      <c r="C28" s="180">
        <f>SUM(C10:C27)</f>
        <v>26511364.07</v>
      </c>
      <c r="D28" s="184">
        <f>ROUND(SUM(D10:D27),0)</f>
        <v>100</v>
      </c>
    </row>
    <row r="29" spans="1:4" x14ac:dyDescent="0.2">
      <c r="A29">
        <v>4000</v>
      </c>
      <c r="B29" t="s">
        <v>724</v>
      </c>
      <c r="C29" s="179">
        <f>ROUND('DOE25'!L256+'DOE25'!L337+'DOE25'!L375+'DOE25'!L376+'DOE25'!L377+'DOE25'!L378+'DOE25'!L379+'DOE25'!L380+'DOE25'!L381,0)</f>
        <v>2808654</v>
      </c>
    </row>
    <row r="30" spans="1:4" x14ac:dyDescent="0.2">
      <c r="B30" s="187" t="s">
        <v>725</v>
      </c>
      <c r="C30" s="180">
        <f>SUM(C28:C29)</f>
        <v>29320018.07</v>
      </c>
    </row>
    <row r="31" spans="1:4" x14ac:dyDescent="0.2">
      <c r="B31" s="33"/>
      <c r="C31" s="180"/>
    </row>
    <row r="32" spans="1:4" x14ac:dyDescent="0.2">
      <c r="A32">
        <v>5100</v>
      </c>
      <c r="B32" s="33" t="s">
        <v>726</v>
      </c>
      <c r="C32" s="180">
        <f>ROUND('DOE25'!L261+'DOE25'!L342,0)</f>
        <v>1240480</v>
      </c>
    </row>
    <row r="34" spans="1:4" x14ac:dyDescent="0.2">
      <c r="A34" s="187" t="s">
        <v>94</v>
      </c>
      <c r="B34" s="188" t="s">
        <v>1589</v>
      </c>
      <c r="C34" s="181" t="s">
        <v>720</v>
      </c>
      <c r="D34" s="181" t="s">
        <v>721</v>
      </c>
    </row>
    <row r="35" spans="1:4" x14ac:dyDescent="0.2">
      <c r="A35">
        <v>1100</v>
      </c>
      <c r="B35" s="185" t="s">
        <v>727</v>
      </c>
      <c r="C35" s="179">
        <f>ROUND('DOE25'!F60+'DOE25'!G60+'DOE25'!H60+'DOE25'!I60+'DOE25'!J60,0)</f>
        <v>14499062</v>
      </c>
      <c r="D35" s="182">
        <f t="shared" ref="D35:D40" si="1">ROUND((C35/$C$41)*100,1)</f>
        <v>49.4</v>
      </c>
    </row>
    <row r="36" spans="1:4" x14ac:dyDescent="0.2">
      <c r="B36" s="185" t="s">
        <v>739</v>
      </c>
      <c r="C36" s="179">
        <f>SUM('DOE25'!F112:J112)-SUM('DOE25'!G97:G110)+('DOE25'!F175+'DOE25'!F176+'DOE25'!I175+'DOE25'!I176)-C35</f>
        <v>208165.16999999993</v>
      </c>
      <c r="D36" s="182">
        <f t="shared" si="1"/>
        <v>0.7</v>
      </c>
    </row>
    <row r="37" spans="1:4" x14ac:dyDescent="0.2">
      <c r="A37" s="183" t="s">
        <v>835</v>
      </c>
      <c r="B37" s="185" t="s">
        <v>728</v>
      </c>
      <c r="C37" s="179">
        <f>ROUND('DOE25'!F117+'DOE25'!F118,0)</f>
        <v>9740446</v>
      </c>
      <c r="D37" s="182">
        <f t="shared" si="1"/>
        <v>33.200000000000003</v>
      </c>
    </row>
    <row r="38" spans="1:4" x14ac:dyDescent="0.2">
      <c r="A38" s="183" t="s">
        <v>734</v>
      </c>
      <c r="B38" s="185" t="s">
        <v>729</v>
      </c>
      <c r="C38" s="179">
        <f>ROUND(SUM('DOE25'!F140:J140)-SUM('DOE25'!F117:F119),0)</f>
        <v>2465126</v>
      </c>
      <c r="D38" s="182">
        <f t="shared" si="1"/>
        <v>8.4</v>
      </c>
    </row>
    <row r="39" spans="1:4" x14ac:dyDescent="0.2">
      <c r="A39">
        <v>4000</v>
      </c>
      <c r="B39" s="185" t="s">
        <v>730</v>
      </c>
      <c r="C39" s="179">
        <f>ROUND('DOE25'!F170+'DOE25'!G170+'DOE25'!H170+'DOE25'!I170,0)</f>
        <v>2452385</v>
      </c>
      <c r="D39" s="182">
        <f t="shared" si="1"/>
        <v>8.4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29365184.170000002</v>
      </c>
      <c r="D41" s="184">
        <f>SUM(D35:D40)</f>
        <v>100.10000000000002</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Somersworth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2020-10-21T14:59:26Z</cp:lastPrinted>
  <dcterms:created xsi:type="dcterms:W3CDTF">1997-12-04T19:04:30Z</dcterms:created>
  <dcterms:modified xsi:type="dcterms:W3CDTF">2020-12-11T21:00:27Z</dcterms:modified>
</cp:coreProperties>
</file>