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115" windowHeight="3315"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614" i="1" l="1"/>
  <c r="G614" i="1"/>
  <c r="F614" i="1"/>
  <c r="J473" i="1"/>
  <c r="I473" i="1"/>
  <c r="H473" i="1"/>
  <c r="G473" i="1"/>
  <c r="F473" i="1"/>
  <c r="G469" i="1"/>
  <c r="H469" i="1"/>
  <c r="I469" i="1"/>
  <c r="J469" i="1"/>
  <c r="F469" i="1"/>
  <c r="H48" i="1" l="1"/>
  <c r="G529" i="1" l="1"/>
  <c r="F529" i="1"/>
  <c r="H244" i="1"/>
  <c r="J605" i="1"/>
  <c r="J244" i="1"/>
  <c r="B39" i="12" l="1"/>
  <c r="B19" i="12"/>
  <c r="B10" i="12"/>
  <c r="J593" i="1" l="1"/>
  <c r="I48" i="1"/>
  <c r="H440" i="1" l="1"/>
  <c r="H452" i="1" s="1"/>
  <c r="G460" i="1"/>
  <c r="G430"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C12" i="10" s="1"/>
  <c r="L201" i="1"/>
  <c r="L216" i="1"/>
  <c r="L217" i="1"/>
  <c r="L218" i="1"/>
  <c r="L219" i="1"/>
  <c r="L234" i="1"/>
  <c r="L235" i="1"/>
  <c r="C110" i="2" s="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652" i="1" s="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E112" i="2" s="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B27" i="12"/>
  <c r="C27" i="12"/>
  <c r="B31" i="12"/>
  <c r="A31" i="12" s="1"/>
  <c r="C31" i="12"/>
  <c r="B9" i="12"/>
  <c r="C9" i="12"/>
  <c r="B18" i="12"/>
  <c r="C18"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J140" i="1" s="1"/>
  <c r="F147" i="1"/>
  <c r="F170" i="1"/>
  <c r="G147" i="1"/>
  <c r="H147" i="1"/>
  <c r="H170" i="1"/>
  <c r="I147" i="1"/>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D115" i="2"/>
  <c r="F115" i="2"/>
  <c r="G115" i="2"/>
  <c r="E119" i="2"/>
  <c r="E120"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F258" i="1" s="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F409" i="1" s="1"/>
  <c r="H644" i="1" s="1"/>
  <c r="G394" i="1"/>
  <c r="H394" i="1"/>
  <c r="I394" i="1"/>
  <c r="I409" i="1" s="1"/>
  <c r="F402" i="1"/>
  <c r="G402" i="1"/>
  <c r="H402" i="1"/>
  <c r="I402" i="1"/>
  <c r="F408" i="1"/>
  <c r="G408" i="1"/>
  <c r="G409" i="1" s="1"/>
  <c r="H646" i="1" s="1"/>
  <c r="H408" i="1"/>
  <c r="I408" i="1"/>
  <c r="H409" i="1"/>
  <c r="H645"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G635" i="1"/>
  <c r="H636" i="1"/>
  <c r="H637" i="1"/>
  <c r="H638" i="1"/>
  <c r="H639" i="1"/>
  <c r="G641" i="1"/>
  <c r="G644" i="1"/>
  <c r="G645" i="1"/>
  <c r="G646" i="1"/>
  <c r="G651" i="1"/>
  <c r="G653" i="1"/>
  <c r="H653" i="1"/>
  <c r="G654" i="1"/>
  <c r="H654" i="1"/>
  <c r="G655" i="1"/>
  <c r="H655" i="1"/>
  <c r="H656" i="1"/>
  <c r="J656" i="1" s="1"/>
  <c r="I170" i="1"/>
  <c r="G339" i="1"/>
  <c r="G353" i="1" s="1"/>
  <c r="H140" i="1"/>
  <c r="H193" i="1" l="1"/>
  <c r="C21" i="12"/>
  <c r="C19" i="12"/>
  <c r="C22" i="12" s="1"/>
  <c r="C20" i="12"/>
  <c r="J258" i="1"/>
  <c r="E114" i="2"/>
  <c r="C119" i="2"/>
  <c r="C91" i="2"/>
  <c r="C11" i="12"/>
  <c r="C10" i="12"/>
  <c r="C12" i="12"/>
  <c r="C38" i="12"/>
  <c r="C37" i="12"/>
  <c r="C40" i="12" s="1"/>
  <c r="C39" i="12"/>
  <c r="L257" i="1"/>
  <c r="A40" i="12"/>
  <c r="H477" i="1"/>
  <c r="H625" i="1" s="1"/>
  <c r="J652" i="1"/>
  <c r="G553" i="1"/>
  <c r="H462" i="1"/>
  <c r="H642" i="1" s="1"/>
  <c r="L402" i="1"/>
  <c r="C139" i="2" s="1"/>
  <c r="K339" i="1"/>
  <c r="K353" i="1" s="1"/>
  <c r="C13" i="10"/>
  <c r="H663" i="1"/>
  <c r="D15" i="13"/>
  <c r="C15" i="13" s="1"/>
  <c r="C20" i="10"/>
  <c r="E13" i="13"/>
  <c r="C13" i="13" s="1"/>
  <c r="D6" i="13"/>
  <c r="C6" i="13" s="1"/>
  <c r="C112" i="2"/>
  <c r="C11" i="10"/>
  <c r="H112" i="1"/>
  <c r="H194" i="1" s="1"/>
  <c r="G630" i="1" s="1"/>
  <c r="J630" i="1" s="1"/>
  <c r="D50" i="2"/>
  <c r="F339" i="1"/>
  <c r="F353" i="1" s="1"/>
  <c r="J642" i="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E37" i="14" s="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D37" i="14" s="1"/>
  <c r="F37" i="14" s="1"/>
  <c r="F36" i="14" s="1"/>
  <c r="L212" i="1"/>
  <c r="F661" i="1" s="1"/>
  <c r="H648" i="1"/>
  <c r="J645" i="1"/>
  <c r="J63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C25" i="10"/>
  <c r="C21" i="10"/>
  <c r="C17" i="10"/>
  <c r="D19" i="13"/>
  <c r="C19" i="13" s="1"/>
  <c r="D14" i="13"/>
  <c r="C14" i="13" s="1"/>
  <c r="C62" i="2"/>
  <c r="G22" i="13"/>
  <c r="C22" i="13" s="1"/>
  <c r="L540" i="1"/>
  <c r="K504" i="1"/>
  <c r="L383" i="1"/>
  <c r="G637" i="1" s="1"/>
  <c r="J637" i="1" s="1"/>
  <c r="G258" i="1"/>
  <c r="G272" i="1" s="1"/>
  <c r="C142" i="2"/>
  <c r="C111" i="2"/>
  <c r="H662" i="1"/>
  <c r="C15" i="10"/>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D103" i="2"/>
  <c r="I140" i="1"/>
  <c r="A22" i="12"/>
  <c r="G50" i="2"/>
  <c r="J653" i="1"/>
  <c r="G572" i="1"/>
  <c r="I435" i="1"/>
  <c r="G435" i="1"/>
  <c r="I664" i="1"/>
  <c r="I663" i="1" l="1"/>
  <c r="C13" i="12"/>
  <c r="F51" i="2"/>
  <c r="D51" i="2"/>
  <c r="G36" i="14"/>
  <c r="H36" i="14" s="1"/>
  <c r="I36" i="14" s="1"/>
  <c r="E145" i="2"/>
  <c r="H649" i="1"/>
  <c r="J649" i="1" s="1"/>
  <c r="H661" i="1"/>
  <c r="H665" i="1" s="1"/>
  <c r="H668" i="1" s="1"/>
  <c r="F194" i="1"/>
  <c r="G628" i="1" s="1"/>
  <c r="J628" i="1" s="1"/>
  <c r="E51" i="2"/>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 r="B13" i="12"/>
  <c r="A13" i="12" s="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<sst xmlns="http://schemas.openxmlformats.org/spreadsheetml/2006/main" count="5546" uniqueCount="1646">
  <si>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</si>
  <si>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</si>
  <si>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</si>
  <si>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</si>
  <si>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</si>
  <si>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</si>
  <si>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</si>
  <si>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</si>
  <si>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</si>
  <si>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</si>
  <si>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</si>
  <si>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</si>
  <si>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</si>
  <si>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</si>
  <si>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</si>
  <si>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</si>
  <si>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</si>
  <si>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</si>
  <si>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</si>
  <si>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</si>
  <si>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</si>
  <si>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</si>
  <si>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</si>
  <si>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</si>
  <si>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</si>
  <si>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</si>
  <si>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</si>
  <si>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</si>
  <si>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</si>
  <si>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</si>
  <si>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</si>
  <si>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</si>
  <si>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</si>
  <si>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</si>
  <si>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</si>
  <si>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</si>
  <si>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</si>
  <si>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</si>
  <si>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</si>
  <si>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</si>
  <si>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</si>
  <si>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</si>
  <si>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</si>
  <si>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</si>
  <si>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</si>
  <si>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</si>
  <si>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</si>
  <si>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</si>
  <si>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</si>
  <si>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</si>
  <si>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</si>
  <si>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</si>
  <si>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</si>
  <si>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</si>
  <si>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</si>
  <si>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</si>
  <si>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</si>
  <si>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</si>
  <si>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</si>
  <si>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</si>
  <si>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</si>
  <si>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</si>
  <si>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</si>
  <si>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</si>
  <si>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</si>
  <si>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</si>
  <si>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</si>
  <si>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</si>
  <si>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</si>
  <si>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</si>
  <si>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</si>
  <si>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</si>
  <si>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</si>
  <si>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</si>
  <si>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</si>
  <si>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</si>
  <si>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</si>
  <si>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</si>
  <si>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</si>
  <si>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</si>
  <si>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</si>
  <si>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</si>
  <si>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</si>
  <si>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</si>
  <si>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</si>
  <si>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</si>
  <si>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</si>
  <si>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</si>
  <si>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</si>
  <si>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</si>
  <si>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</si>
  <si>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</si>
  <si>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</si>
  <si>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</si>
  <si>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</si>
  <si>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</si>
  <si>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</si>
  <si>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</si>
  <si>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</si>
  <si>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</si>
  <si>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</si>
  <si>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</si>
  <si>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</si>
  <si>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</si>
  <si>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</si>
  <si>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</si>
  <si>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</si>
  <si>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</si>
  <si>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</si>
  <si>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</si>
  <si>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</si>
  <si>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</si>
  <si>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</si>
  <si>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</si>
  <si>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</si>
  <si>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</si>
  <si>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</si>
  <si>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</si>
  <si>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</si>
  <si>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</si>
  <si>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</si>
  <si>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</si>
  <si>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</si>
  <si>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</si>
  <si>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</si>
  <si>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</si>
  <si>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</si>
  <si>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</si>
  <si>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</si>
  <si>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</si>
  <si>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</si>
  <si>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</si>
  <si>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</si>
  <si>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</si>
  <si>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</si>
  <si>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</si>
  <si>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</si>
  <si>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</si>
  <si>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</si>
  <si>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</si>
  <si>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</si>
  <si>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</si>
  <si>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</si>
  <si>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</si>
  <si>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</si>
  <si>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</si>
  <si>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</si>
  <si>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</si>
  <si>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</si>
  <si>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</si>
  <si>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</si>
  <si>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</si>
  <si>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</si>
  <si>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</si>
  <si>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</si>
  <si>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</si>
  <si>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</si>
  <si>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</si>
  <si>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</si>
  <si>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</si>
  <si>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</si>
  <si>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</si>
  <si>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</si>
  <si>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</si>
  <si>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</si>
  <si>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</si>
  <si>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</si>
  <si>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</si>
  <si>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</si>
  <si>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</si>
  <si>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</si>
  <si>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</si>
  <si>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</si>
  <si>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</si>
  <si>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</si>
  <si>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</si>
  <si>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</si>
  <si>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</si>
  <si>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</si>
  <si>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</si>
  <si>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</si>
  <si>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</si>
  <si>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</si>
  <si>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</si>
  <si>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</si>
  <si>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</si>
  <si>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</si>
  <si>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</si>
  <si>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</si>
  <si>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</si>
  <si>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</si>
  <si>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</si>
  <si>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</si>
  <si>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</si>
  <si>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</si>
  <si>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</si>
  <si>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</si>
  <si>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</si>
  <si>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</si>
  <si>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</si>
  <si>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</si>
  <si>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</si>
  <si>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</si>
  <si>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</si>
  <si>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</si>
  <si>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</si>
  <si>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</si>
  <si>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</si>
  <si>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</si>
  <si>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</si>
  <si>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</si>
  <si>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</si>
  <si>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</si>
  <si>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</si>
  <si>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</si>
  <si>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</si>
  <si>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</si>
  <si>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</si>
  <si>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</si>
  <si>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</si>
  <si>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</si>
  <si>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</si>
  <si>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</si>
  <si>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</si>
  <si>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</si>
  <si>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</si>
  <si>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</si>
  <si>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</si>
  <si>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</si>
  <si>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</si>
  <si>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</si>
  <si>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</si>
  <si>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</si>
  <si>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</si>
  <si>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</si>
  <si>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</si>
  <si>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</si>
  <si>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</si>
  <si>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</si>
  <si>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</si>
  <si>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</si>
  <si>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</si>
  <si>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</si>
  <si>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</si>
  <si>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</si>
  <si>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</si>
  <si>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</si>
  <si>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</si>
  <si>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</si>
  <si>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</si>
  <si>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</si>
  <si>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</si>
  <si>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</si>
  <si>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</si>
  <si>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</si>
  <si>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</si>
  <si>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</si>
  <si>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</si>
  <si>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</si>
  <si>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</si>
  <si>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</si>
  <si>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</si>
  <si>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</si>
  <si>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</si>
  <si>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</si>
  <si>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</si>
  <si>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</si>
  <si>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</si>
  <si>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</si>
  <si>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</si>
  <si>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</si>
  <si>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</si>
  <si>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</si>
  <si>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</si>
  <si>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</si>
  <si>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</si>
  <si>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</si>
  <si>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</si>
  <si>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</si>
  <si>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</si>
  <si>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</si>
  <si>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</si>
  <si>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</si>
  <si>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</si>
  <si>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</si>
  <si>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</si>
  <si>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</si>
  <si>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</si>
  <si>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</si>
  <si>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</si>
  <si>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</si>
  <si>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</si>
  <si>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</si>
  <si>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</si>
  <si>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</si>
  <si>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</si>
  <si>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</si>
  <si>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</si>
  <si>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</si>
  <si>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</si>
  <si>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</si>
  <si>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</si>
  <si>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</si>
  <si>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</si>
  <si>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</si>
  <si>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</si>
  <si>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</si>
  <si>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</si>
  <si>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</si>
  <si>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</si>
  <si>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</si>
  <si>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</si>
  <si>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</si>
  <si>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</si>
  <si>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</si>
  <si>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</si>
  <si>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</si>
  <si>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</si>
  <si>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</si>
  <si>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</si>
  <si>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</si>
  <si>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</si>
  <si>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</si>
  <si>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</si>
  <si>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</si>
  <si>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</si>
  <si>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</si>
  <si>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</si>
  <si>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</si>
  <si>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</si>
  <si>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</si>
  <si>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</si>
  <si>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</si>
  <si>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</si>
  <si>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</si>
  <si>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</si>
  <si>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</si>
  <si>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</si>
  <si>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</si>
  <si>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</si>
  <si>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</si>
  <si>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</si>
  <si>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</si>
  <si>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</si>
  <si>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</si>
  <si>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</si>
  <si>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</si>
  <si>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</si>
  <si>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</si>
  <si>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</si>
  <si>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</si>
  <si>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</si>
  <si>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</si>
  <si>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</si>
  <si>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</si>
  <si>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</si>
  <si>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</si>
  <si>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</si>
  <si>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</si>
  <si>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</si>
  <si>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</si>
  <si>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</si>
  <si>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</si>
  <si>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</si>
  <si>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</si>
  <si>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</si>
  <si>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</si>
  <si>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</si>
  <si>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</si>
  <si>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</si>
  <si>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</si>
  <si>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</si>
  <si>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</si>
  <si>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</si>
  <si>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</si>
  <si>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</si>
  <si>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</si>
  <si>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</si>
  <si>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</si>
  <si>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</si>
  <si>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</si>
  <si>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</si>
  <si>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</si>
  <si>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</si>
  <si>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</si>
  <si>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</si>
  <si>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</si>
  <si>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</si>
  <si>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</si>
  <si>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</si>
  <si>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</si>
  <si>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</si>
  <si>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</si>
  <si>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</si>
  <si>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</si>
  <si>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</si>
  <si>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</si>
  <si>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</si>
  <si>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</si>
  <si>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</si>
  <si>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</si>
  <si>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</si>
  <si>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</si>
  <si>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</si>
  <si>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</si>
  <si>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</si>
  <si>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</si>
  <si>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</si>
  <si>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</si>
  <si>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</si>
  <si>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</si>
  <si>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</si>
  <si>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</si>
  <si>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</si>
  <si>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</si>
  <si>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</si>
  <si>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</si>
  <si>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</si>
  <si>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</si>
  <si>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</si>
  <si>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</si>
  <si>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</si>
  <si>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</si>
  <si>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</si>
  <si>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</si>
  <si>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</si>
  <si>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</si>
  <si>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</si>
  <si>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</si>
  <si>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</si>
  <si>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</si>
  <si>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</si>
  <si>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</si>
  <si>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</si>
  <si>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</si>
  <si>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</si>
  <si>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</si>
  <si>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</si>
  <si>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</si>
  <si>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</si>
  <si>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</si>
  <si>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</si>
  <si>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</si>
  <si>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</si>
  <si>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</si>
  <si>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</si>
  <si>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</si>
  <si>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</si>
  <si>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</si>
  <si>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</si>
  <si>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</si>
  <si>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</si>
  <si>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</si>
  <si>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</si>
  <si>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</si>
  <si>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</si>
  <si>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</si>
  <si>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</si>
  <si>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</si>
  <si>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</si>
  <si>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</si>
  <si>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</si>
  <si>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</si>
  <si>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</si>
  <si>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</si>
  <si>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</si>
  <si>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</si>
  <si>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</si>
  <si>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</si>
  <si>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</si>
  <si>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</si>
  <si>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</si>
  <si>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</si>
  <si>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</si>
  <si>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</si>
  <si>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</si>
  <si>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</si>
  <si>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</si>
  <si>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</si>
  <si>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</si>
  <si>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</si>
  <si>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</si>
  <si>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</si>
  <si>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</si>
  <si>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</si>
  <si>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</si>
  <si>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</si>
  <si>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</si>
  <si>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</si>
  <si>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</si>
  <si>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</si>
  <si>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</si>
  <si>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</si>
  <si>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</si>
  <si>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</si>
  <si>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</si>
  <si>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</si>
  <si>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</si>
  <si>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</si>
  <si>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</si>
  <si>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</si>
  <si>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</si>
  <si>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</si>
  <si>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</si>
  <si>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</si>
  <si>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</si>
  <si>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</si>
  <si>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</si>
  <si>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</si>
  <si>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</si>
  <si>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</si>
  <si>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</si>
  <si>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</si>
  <si>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</si>
  <si>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</si>
  <si>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</si>
  <si>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</si>
  <si>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</si>
  <si>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</si>
  <si>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</si>
  <si>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</si>
  <si>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</si>
  <si>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</si>
  <si>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</si>
  <si>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</si>
  <si>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</si>
  <si>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</si>
  <si>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</si>
  <si>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</si>
  <si>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</si>
  <si>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</si>
  <si>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</si>
  <si>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</si>
  <si>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</si>
  <si>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</si>
  <si>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</si>
  <si>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</si>
  <si>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</si>
  <si>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</si>
  <si>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</si>
  <si>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</si>
  <si>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</si>
  <si>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</si>
  <si>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</si>
  <si>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</si>
  <si>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</si>
  <si>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</si>
  <si>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</si>
  <si>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</si>
  <si>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</si>
  <si>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</si>
  <si>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</si>
  <si>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</si>
  <si>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</si>
  <si>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</si>
  <si>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</si>
  <si>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</si>
  <si>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</si>
  <si>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</si>
  <si>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</si>
  <si>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</si>
  <si>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</si>
  <si>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</si>
  <si>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</si>
  <si>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</si>
  <si>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</si>
  <si>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</si>
  <si>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</si>
  <si>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</si>
  <si>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</si>
  <si>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</si>
  <si>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</si>
  <si>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</si>
  <si>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</si>
  <si>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</si>
  <si>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</si>
  <si>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</si>
  <si>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</si>
  <si>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</si>
  <si>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</si>
  <si>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</si>
  <si>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</si>
  <si>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</si>
  <si>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</si>
  <si>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</si>
  <si>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</si>
  <si>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</si>
  <si>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</si>
  <si>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</si>
  <si>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</si>
  <si>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</si>
  <si>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</si>
  <si>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</si>
  <si>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</si>
  <si>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</si>
  <si>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</si>
  <si>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</si>
  <si>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</si>
  <si>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</si>
  <si>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</si>
  <si>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</si>
  <si>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</si>
  <si>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</si>
  <si>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</si>
  <si>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</si>
  <si>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</si>
  <si>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</si>
  <si>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</si>
  <si>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</si>
  <si>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</si>
  <si>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</si>
  <si>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</si>
  <si>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</si>
  <si>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</si>
  <si>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</si>
  <si>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</si>
  <si>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</si>
  <si>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</si>
  <si>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</si>
  <si>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</si>
  <si>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</si>
  <si>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</si>
  <si>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</si>
  <si>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</si>
  <si>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</si>
  <si>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</si>
  <si>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</si>
  <si>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</si>
  <si>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</si>
  <si>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</si>
  <si>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</si>
  <si>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</si>
  <si>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</si>
  <si>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</si>
  <si>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</si>
  <si>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</si>
  <si>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</si>
  <si>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</si>
  <si>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</si>
  <si>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</si>
  <si>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</si>
  <si>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</si>
  <si>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</si>
  <si>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</si>
  <si>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</si>
  <si>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</si>
  <si>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</si>
  <si>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</si>
  <si>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</si>
  <si>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</si>
  <si>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</si>
  <si>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</si>
  <si>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</si>
  <si>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</si>
  <si>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</si>
  <si>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</si>
  <si>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</si>
  <si>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</si>
  <si>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</si>
  <si>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</si>
  <si>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</si>
  <si>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</si>
  <si>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</si>
  <si>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</si>
  <si>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</si>
  <si>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</si>
  <si>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</si>
  <si>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</si>
  <si>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</si>
  <si>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</si>
  <si>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</si>
  <si>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</si>
  <si>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</si>
  <si>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</si>
  <si>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</si>
  <si>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</si>
  <si>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</si>
  <si>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</si>
  <si>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</si>
  <si>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</si>
  <si>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</si>
  <si>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</si>
  <si>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</si>
  <si>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</si>
  <si>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</si>
  <si>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</si>
  <si>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</si>
  <si>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</si>
  <si>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</si>
  <si>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</si>
  <si>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</si>
  <si>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</si>
  <si>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</si>
  <si>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</si>
  <si>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</si>
  <si>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</si>
  <si>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</si>
  <si>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</si>
  <si>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</si>
  <si>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</si>
  <si>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</si>
  <si>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</si>
  <si>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</si>
  <si>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</si>
  <si>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</si>
  <si>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</si>
  <si>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</si>
  <si>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</si>
  <si>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</si>
  <si>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</si>
  <si>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</si>
  <si>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</si>
  <si>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</si>
  <si>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</si>
  <si>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</si>
  <si>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</si>
  <si>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</si>
  <si>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</si>
  <si>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</si>
  <si>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</si>
  <si>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</si>
  <si>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</si>
  <si>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</si>
  <si>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</si>
  <si>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</si>
  <si>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</si>
  <si>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</si>
  <si>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</si>
  <si>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</si>
  <si>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</si>
  <si>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</si>
  <si>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</si>
  <si>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</si>
  <si>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</si>
  <si>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</si>
  <si>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</si>
  <si>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</si>
  <si>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</si>
  <si>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</si>
  <si>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</si>
  <si>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</si>
  <si>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</si>
  <si>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</si>
  <si>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</si>
  <si>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</si>
  <si>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</si>
  <si>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</si>
  <si>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</si>
  <si>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</si>
  <si>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</si>
  <si>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</si>
  <si>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</si>
  <si>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</si>
  <si>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</si>
  <si>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</si>
  <si>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</si>
  <si>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</si>
  <si>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</si>
  <si>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</si>
  <si>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</si>
  <si>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</si>
  <si>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</si>
  <si>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</si>
  <si>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</si>
  <si>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</si>
  <si>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</si>
  <si>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</si>
  <si>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</si>
  <si>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</si>
  <si>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</si>
  <si>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</si>
  <si>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</si>
  <si>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</si>
  <si>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</si>
  <si>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</si>
  <si>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</si>
  <si>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</si>
  <si>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</si>
  <si>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</si>
  <si>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</si>
  <si>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</si>
  <si>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</si>
  <si>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</si>
  <si>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</si>
  <si>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</si>
  <si>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</si>
  <si>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</si>
  <si>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</si>
  <si>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</si>
  <si>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</si>
  <si>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</si>
  <si>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</si>
  <si>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</si>
  <si>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</si>
  <si>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</si>
  <si>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</si>
  <si>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</si>
  <si>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</si>
  <si>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</si>
  <si>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</si>
  <si>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</si>
  <si>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</si>
  <si>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</si>
  <si>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</si>
  <si>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</si>
  <si>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</si>
  <si>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</si>
  <si>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</si>
  <si>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</si>
  <si>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</si>
  <si>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</si>
  <si>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</si>
  <si>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</si>
  <si>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</si>
  <si>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</si>
  <si>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</si>
  <si>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</si>
  <si>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</si>
  <si>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</si>
  <si>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</si>
  <si>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</si>
  <si>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</si>
  <si>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</si>
  <si>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</si>
  <si>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</si>
  <si>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</si>
  <si>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</si>
  <si>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</si>
  <si>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</si>
  <si>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</si>
  <si>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</si>
  <si>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</si>
  <si>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</si>
  <si>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</si>
  <si>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</si>
  <si>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</si>
  <si>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</si>
  <si>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</si>
  <si>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</si>
  <si>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</si>
  <si>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</si>
  <si>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</si>
  <si>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</si>
  <si>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</si>
  <si>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</si>
  <si>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</si>
  <si>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</si>
  <si>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</si>
  <si>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</si>
  <si>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</si>
  <si>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</si>
  <si>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</si>
  <si>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</si>
  <si>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</si>
  <si>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</si>
  <si>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</si>
  <si>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</si>
  <si>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</si>
  <si>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</si>
  <si>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</si>
  <si>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</si>
  <si>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</si>
  <si>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</si>
  <si>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</si>
  <si>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</si>
  <si>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</si>
  <si>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</si>
  <si>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</si>
  <si>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</si>
  <si>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</si>
  <si>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</si>
  <si>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</si>
  <si>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</si>
  <si>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</si>
  <si>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</si>
  <si>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</si>
  <si>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</si>
  <si>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</si>
  <si>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</si>
  <si>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</si>
  <si>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</si>
  <si>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</si>
  <si>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</si>
  <si>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</si>
  <si>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</si>
  <si>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</si>
  <si>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</si>
  <si>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</si>
  <si>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</si>
  <si>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</si>
  <si>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</si>
  <si>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</si>
  <si>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</si>
  <si>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</si>
  <si>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</si>
  <si>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</si>
  <si>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</si>
  <si>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</si>
  <si>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</si>
  <si>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</si>
  <si>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</si>
  <si>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</si>
  <si>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</si>
  <si>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</si>
  <si>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</si>
  <si>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</si>
  <si>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</si>
  <si>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</si>
  <si>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</si>
  <si>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</si>
  <si>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</si>
  <si>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</si>
  <si>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</si>
  <si>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</si>
  <si>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</si>
  <si>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</si>
  <si>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</si>
  <si>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</si>
  <si>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</si>
  <si>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</si>
  <si>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</si>
  <si>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</si>
  <si>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</si>
  <si>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</si>
  <si>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</si>
  <si>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</si>
  <si>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</si>
  <si>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</si>
  <si>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</si>
  <si>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</si>
  <si>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</si>
  <si>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</si>
  <si>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</si>
  <si>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</si>
  <si>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</si>
  <si>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</si>
  <si>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</si>
  <si>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</si>
  <si>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</si>
  <si>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</si>
  <si>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</si>
  <si>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</si>
  <si>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</si>
  <si>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</si>
  <si>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</si>
  <si>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</si>
  <si>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</si>
  <si>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</si>
  <si>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</si>
  <si>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</si>
  <si>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</si>
  <si>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</si>
  <si>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</si>
  <si>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</si>
  <si>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</si>
  <si>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</si>
  <si>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</si>
  <si>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</si>
  <si>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</si>
  <si>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</si>
  <si>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</si>
  <si>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</si>
  <si>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</si>
  <si>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</si>
  <si>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</si>
  <si>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</si>
  <si>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</si>
  <si>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</si>
  <si>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</si>
  <si>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</si>
  <si>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</si>
  <si>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</si>
  <si>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</si>
  <si>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</si>
  <si>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</si>
  <si>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</si>
  <si>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</si>
  <si>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</si>
  <si>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</si>
  <si>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</si>
  <si>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</si>
  <si>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</si>
  <si>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</si>
  <si>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</si>
  <si>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</si>
  <si>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</si>
  <si>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</si>
  <si>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</si>
  <si>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</si>
  <si>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</si>
  <si>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</si>
  <si>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</si>
  <si>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</si>
  <si>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</si>
  <si>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</si>
  <si>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</si>
  <si>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</si>
  <si>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</si>
  <si>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</si>
  <si>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</si>
  <si>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</si>
  <si>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</si>
  <si>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</si>
  <si>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</si>
  <si>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</si>
  <si>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</si>
  <si>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</si>
  <si>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</si>
  <si>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</si>
  <si>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</si>
  <si>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</si>
  <si>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</si>
  <si>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</si>
  <si>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</si>
  <si>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</si>
  <si>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</si>
  <si>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</si>
  <si>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</si>
  <si>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</si>
  <si>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</si>
  <si>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</si>
  <si>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</si>
  <si>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</si>
  <si>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</si>
  <si>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</si>
  <si>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</si>
  <si>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</si>
  <si>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</si>
  <si>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</si>
  <si>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</si>
  <si>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</si>
  <si>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</si>
  <si>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</si>
  <si>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</si>
  <si>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</si>
  <si>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</si>
  <si>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</si>
  <si>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</si>
  <si>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</si>
  <si>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</si>
  <si>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</si>
  <si>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</si>
  <si>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</si>
  <si>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</si>
  <si>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</si>
  <si>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</si>
  <si>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</si>
  <si>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</si>
  <si>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</si>
  <si>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</si>
  <si>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</si>
  <si>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</si>
  <si>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</si>
  <si>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</si>
  <si>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</si>
  <si>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</si>
  <si>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</si>
  <si>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</si>
  <si>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</si>
  <si>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</si>
  <si>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</si>
  <si>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</si>
  <si>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</si>
  <si>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</si>
  <si>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</si>
  <si>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</si>
  <si>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</si>
  <si>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</si>
  <si>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</si>
  <si>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</si>
  <si>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</si>
  <si>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</si>
  <si>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</si>
  <si>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</si>
  <si>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</si>
  <si>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</si>
  <si>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</si>
  <si>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</si>
  <si>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</si>
  <si>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</si>
  <si>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</si>
  <si>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</si>
  <si>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</si>
  <si>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</si>
  <si>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</si>
  <si>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</si>
  <si>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</si>
  <si>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</si>
  <si>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</si>
  <si>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</si>
  <si>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</si>
  <si>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</si>
  <si>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</si>
  <si>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</si>
  <si>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</si>
  <si>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</si>
  <si>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</si>
  <si>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</si>
  <si>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</si>
  <si>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</si>
  <si>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</si>
  <si>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</si>
  <si>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</si>
  <si>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</si>
  <si>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</si>
  <si>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</si>
  <si>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</si>
  <si>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</si>
  <si>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</si>
  <si>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</si>
  <si>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</si>
  <si>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</si>
  <si>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</si>
  <si>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</si>
  <si>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</si>
  <si>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</si>
  <si>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</si>
  <si>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</si>
  <si>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</si>
  <si>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</si>
  <si>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</si>
  <si>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</si>
  <si>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</si>
  <si>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</si>
  <si>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</si>
  <si>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</si>
  <si>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</si>
  <si>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</si>
  <si>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</si>
  <si>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</si>
  <si>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</si>
  <si>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</si>
  <si>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</si>
  <si>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</si>
  <si>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</si>
  <si>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</si>
  <si>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</si>
  <si>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</si>
  <si>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</si>
  <si>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</si>
  <si>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</si>
  <si>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</si>
  <si>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</si>
  <si>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</si>
  <si>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</si>
  <si>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</si>
  <si>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</si>
  <si>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</si>
  <si>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</si>
  <si>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</si>
  <si>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</si>
  <si>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</si>
  <si>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</si>
  <si>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</si>
  <si>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</si>
  <si>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</si>
  <si>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</si>
  <si>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</si>
  <si>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</si>
  <si>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</si>
  <si>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</si>
  <si>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</si>
  <si>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</si>
  <si>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</si>
  <si>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</si>
  <si>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</si>
  <si>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</si>
  <si>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</si>
  <si>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</si>
  <si>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</si>
  <si>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</si>
  <si>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</si>
  <si>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</si>
  <si>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</si>
  <si>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</si>
  <si>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</si>
  <si>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</si>
  <si>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</si>
  <si>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</si>
  <si>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</si>
  <si>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</si>
  <si>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</si>
  <si>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</si>
  <si>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</si>
  <si>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</si>
  <si>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</si>
  <si>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</si>
  <si>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</si>
  <si>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</si>
  <si>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</si>
  <si>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</si>
  <si>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</si>
  <si>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</si>
  <si>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</si>
  <si>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</si>
  <si>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</si>
  <si>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</si>
  <si>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</si>
  <si>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</si>
  <si>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</si>
  <si>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</si>
  <si>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</si>
  <si>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</si>
  <si>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</si>
  <si>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</si>
  <si>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</si>
  <si>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</si>
  <si>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</si>
  <si>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</si>
  <si>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</si>
  <si>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</si>
  <si>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</si>
  <si>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</si>
  <si>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</si>
  <si>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</si>
  <si>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</si>
  <si>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</si>
  <si>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</si>
  <si>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</si>
  <si>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</si>
  <si>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</si>
  <si>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</si>
  <si>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</si>
  <si>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</si>
  <si>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</si>
  <si>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</si>
  <si>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</si>
  <si>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</si>
  <si>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</si>
  <si>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</si>
  <si>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</si>
  <si>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</si>
  <si>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</si>
  <si>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</si>
  <si>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</si>
  <si>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</si>
  <si>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</si>
  <si>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</si>
  <si>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</si>
  <si>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</si>
  <si>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</si>
  <si>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</si>
  <si>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</si>
  <si>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</si>
  <si>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</si>
  <si>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</si>
  <si>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</si>
  <si>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</si>
  <si>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</si>
  <si>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</si>
  <si>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</si>
  <si>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</si>
  <si>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</si>
  <si>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</si>
  <si>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</si>
  <si>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</si>
  <si>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</si>
  <si>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</si>
  <si>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</si>
  <si>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</si>
  <si>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</si>
  <si>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</si>
  <si>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</si>
  <si>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</si>
  <si>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</si>
  <si>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</si>
  <si>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</si>
  <si>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</si>
  <si>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</si>
  <si>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</si>
  <si>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</si>
  <si>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</si>
  <si>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</si>
  <si>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</si>
  <si>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</si>
  <si>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</si>
  <si>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</si>
  <si>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</si>
  <si>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</si>
  <si>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</si>
  <si>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</si>
  <si>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</si>
  <si>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</si>
  <si>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</si>
  <si>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</si>
  <si>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</si>
  <si>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</si>
  <si>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</si>
  <si>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</si>
  <si>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</si>
  <si>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</si>
  <si>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</si>
  <si>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</si>
  <si>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</si>
  <si>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</si>
  <si>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</si>
  <si>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</si>
  <si>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</si>
  <si>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</si>
  <si>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</si>
  <si>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</si>
  <si>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</si>
  <si>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</si>
  <si>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</si>
  <si>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</si>
  <si>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</si>
  <si>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</si>
  <si>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</si>
  <si>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</si>
  <si>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</si>
  <si>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</si>
  <si>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</si>
  <si>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</si>
  <si>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</si>
  <si>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</si>
  <si>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</si>
  <si>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</si>
  <si>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</si>
  <si>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</si>
  <si>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</si>
  <si>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</si>
  <si>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</si>
  <si>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</si>
  <si>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</si>
  <si>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</si>
  <si>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</si>
  <si>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</si>
  <si>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</si>
  <si>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</si>
  <si>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</si>
  <si>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</si>
  <si>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</si>
  <si>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</si>
  <si>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</si>
  <si>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</si>
  <si>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</si>
  <si>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</si>
  <si>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</si>
  <si>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</si>
  <si>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</si>
  <si>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</si>
  <si>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</si>
  <si>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</si>
  <si>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</si>
  <si>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</si>
  <si>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</si>
  <si>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</si>
  <si>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</si>
  <si>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</si>
  <si>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</si>
  <si>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</si>
  <si>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</si>
  <si>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</si>
  <si>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</si>
  <si>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</si>
  <si>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</si>
  <si>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</si>
  <si>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</si>
  <si>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</si>
  <si>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</si>
  <si>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</si>
  <si>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</si>
  <si>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</si>
  <si>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</si>
  <si>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</si>
  <si>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</si>
  <si>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</si>
  <si>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</si>
  <si>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</si>
  <si>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</si>
  <si>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</si>
  <si>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</si>
  <si>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</si>
  <si>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</si>
  <si>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</si>
  <si>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</si>
  <si>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</si>
  <si>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</si>
  <si>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</si>
  <si>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</si>
  <si>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</si>
  <si>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</si>
  <si>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</si>
  <si>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</si>
  <si>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</si>
  <si>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</si>
  <si>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</si>
  <si>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</si>
  <si>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</si>
  <si>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</si>
  <si>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</si>
  <si>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</si>
  <si>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</si>
  <si>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</si>
  <si>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</si>
  <si>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</si>
  <si>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</si>
  <si>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</si>
  <si>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</si>
  <si>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</si>
  <si>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</si>
  <si>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</si>
  <si>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</si>
  <si>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</si>
  <si>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</si>
  <si>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</si>
  <si>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</si>
  <si>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</si>
  <si>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</si>
  <si>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</si>
  <si>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</si>
  <si>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</si>
  <si>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</si>
  <si>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</si>
  <si>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</si>
  <si>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</si>
  <si>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</si>
  <si>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</si>
  <si>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</si>
  <si>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</si>
  <si>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</si>
  <si>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</si>
  <si>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</si>
  <si>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</si>
  <si>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</si>
  <si>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</si>
  <si>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</si>
  <si>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</si>
  <si>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</si>
  <si>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</si>
  <si>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</si>
  <si>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</si>
  <si>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</si>
  <si>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</si>
  <si>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</si>
  <si>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</si>
  <si>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</si>
  <si>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</si>
  <si>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</si>
  <si>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</si>
  <si>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</si>
  <si>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</si>
  <si>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</si>
  <si>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</si>
  <si>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</si>
  <si>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</si>
  <si>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</si>
  <si>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</si>
  <si>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</si>
  <si>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</si>
  <si>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</si>
  <si>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</si>
  <si>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</si>
  <si>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</si>
  <si>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</si>
  <si>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</si>
  <si>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</si>
  <si>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</si>
  <si>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</si>
  <si>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</si>
  <si>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</si>
  <si>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</si>
  <si>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</si>
  <si>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</si>
  <si>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</si>
  <si>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</si>
  <si>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</si>
  <si>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</si>
  <si>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</si>
  <si>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</si>
  <si>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</si>
  <si>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</si>
  <si>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</si>
  <si>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</si>
  <si>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</si>
  <si>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</si>
  <si>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</si>
  <si>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</si>
  <si>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</si>
  <si>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</si>
  <si>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</si>
  <si>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</si>
  <si>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</si>
  <si>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</si>
  <si>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</si>
  <si>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</si>
  <si>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</si>
  <si>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</si>
  <si>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</si>
  <si>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</si>
  <si>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</si>
  <si>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</si>
  <si>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</si>
  <si>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</si>
  <si>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</si>
  <si>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</si>
  <si>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</si>
  <si>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</si>
  <si>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</si>
  <si>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</si>
  <si>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</si>
  <si>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</si>
  <si>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</si>
  <si>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</si>
  <si>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</si>
  <si>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</si>
  <si>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</si>
  <si>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</si>
  <si>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</si>
  <si>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</si>
  <si>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</si>
  <si>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</si>
  <si>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</si>
  <si>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</si>
  <si>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</si>
  <si>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</si>
  <si>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</si>
  <si>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</si>
  <si>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</si>
  <si>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</si>
  <si>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</si>
  <si>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</si>
  <si>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</si>
  <si>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</si>
  <si>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</si>
  <si>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</si>
  <si>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</si>
  <si>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</si>
  <si>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</si>
  <si>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</si>
  <si>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</si>
  <si>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</si>
  <si>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</si>
  <si>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</si>
  <si>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</si>
  <si>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</si>
  <si>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</si>
  <si>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</si>
  <si>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</si>
  <si>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</si>
  <si>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</si>
  <si>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</si>
  <si>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</si>
  <si>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</si>
  <si>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</si>
  <si>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</si>
  <si>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</si>
  <si>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</si>
  <si>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</si>
  <si>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</si>
  <si>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</si>
  <si>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</si>
  <si>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</si>
  <si>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</si>
  <si>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</si>
  <si>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</si>
  <si>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</si>
  <si>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</si>
  <si>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</si>
  <si>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</si>
  <si>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</si>
  <si>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</si>
  <si>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</si>
  <si>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</si>
  <si>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</si>
  <si>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</si>
  <si>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</si>
  <si>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</si>
  <si>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</si>
  <si>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</si>
  <si>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</si>
  <si>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</si>
  <si>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</si>
  <si>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</si>
  <si>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</si>
  <si>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</si>
  <si>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</si>
  <si>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</si>
  <si>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</si>
  <si>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</si>
  <si>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</si>
  <si>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</si>
  <si>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</si>
  <si>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</si>
  <si>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</si>
  <si>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</si>
  <si>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</si>
  <si>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</si>
  <si>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</si>
  <si>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</si>
  <si>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</si>
  <si>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</si>
  <si>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</si>
  <si>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</si>
  <si>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</si>
  <si>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</si>
  <si>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</si>
  <si>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</si>
  <si>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</si>
  <si>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</si>
  <si>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</si>
  <si>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</si>
  <si>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</si>
  <si>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</si>
  <si>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</si>
  <si>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</si>
  <si>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</si>
  <si>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</si>
  <si>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</si>
  <si>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</si>
  <si>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</si>
  <si>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</si>
  <si>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</si>
  <si>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</si>
  <si>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</si>
  <si>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</si>
  <si>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</si>
  <si>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</si>
  <si>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</si>
  <si>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</si>
  <si>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</si>
  <si>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</si>
  <si>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</si>
  <si>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</si>
  <si>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</si>
  <si>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</si>
  <si>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</si>
  <si>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</si>
  <si>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</si>
  <si>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</si>
  <si>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</si>
  <si>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</si>
  <si>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</si>
  <si>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</si>
  <si>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</si>
  <si>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</si>
  <si>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</si>
  <si>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</si>
  <si>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</si>
  <si>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</si>
  <si>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</si>
  <si>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</si>
  <si>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 xml:space="preserve">Agency Funds </t>
  </si>
  <si>
    <t>07/13</t>
  </si>
  <si>
    <t>08/20</t>
  </si>
  <si>
    <t>SOUHEGAN COOPERATIVE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</si>
</sst>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7" activePane="bottomRight" state="frozen"/>
      <selection pane="topRight" activeCell="F1" sqref="F1"/>
      <selection pane="bottomLeft" activeCell="A4" sqref="A4"/>
      <selection pane="bottomRight"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1645</v>
      </c>
      <c r="B2" s="21">
        <v>493</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-510564.43</v>
      </c>
      <c r="G9" s="18">
        <v>800</v>
      </c>
      <c r="H9" s="18">
        <v>37951.300000000003</v>
      </c>
      <c r="I9" s="18">
        <v>0</v>
      </c>
      <c r="J9" s="67">
        <f>SUM(I440)</f>
        <v>277310.03000000003</v>
      </c>
      <c r="K9" s="24" t="s">
        <v>288</v>
      </c>
      <c r="L9" s="24" t="s">
        <v>288</v>
      </c>
      <c r="M9" s="8"/>
      <c r="N9" s="266"/>
    </row>
    <row r="10" spans="1:14" s="3" customFormat="1" ht="12.2" customHeight="1" x14ac:dyDescent="0.15">
      <c r="A10" s="1" t="s">
        <v>562</v>
      </c>
      <c r="B10" s="2" t="s">
        <v>289</v>
      </c>
      <c r="C10" s="6">
        <v>2</v>
      </c>
      <c r="D10" s="2" t="s">
        <v>428</v>
      </c>
      <c r="E10" s="6">
        <v>110</v>
      </c>
      <c r="F10" s="18">
        <v>1547975.62</v>
      </c>
      <c r="G10" s="18">
        <v>0</v>
      </c>
      <c r="H10" s="18">
        <v>0</v>
      </c>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50123.45</v>
      </c>
      <c r="G12" s="18">
        <v>0</v>
      </c>
      <c r="H12" s="18">
        <v>0</v>
      </c>
      <c r="I12" s="18">
        <v>820.28</v>
      </c>
      <c r="J12" s="67">
        <f>SUM(I442)</f>
        <v>0</v>
      </c>
      <c r="K12" s="24" t="s">
        <v>288</v>
      </c>
      <c r="L12" s="24" t="s">
        <v>288</v>
      </c>
      <c r="M12" s="8"/>
      <c r="N12" s="266"/>
    </row>
    <row r="13" spans="1:14" s="3" customFormat="1" ht="12.2" customHeight="1" x14ac:dyDescent="0.15">
      <c r="A13" s="1" t="s">
        <v>604</v>
      </c>
      <c r="B13" s="2" t="s">
        <v>289</v>
      </c>
      <c r="C13" s="6">
        <v>5</v>
      </c>
      <c r="D13" s="2" t="s">
        <v>428</v>
      </c>
      <c r="E13" s="6">
        <v>140</v>
      </c>
      <c r="F13" s="18">
        <v>79177.42</v>
      </c>
      <c r="G13" s="18">
        <v>63737.45</v>
      </c>
      <c r="H13" s="18">
        <v>27379.96</v>
      </c>
      <c r="I13" s="18"/>
      <c r="J13" s="67">
        <f>SUM(I443)</f>
        <v>659728.46</v>
      </c>
      <c r="K13" s="24" t="s">
        <v>288</v>
      </c>
      <c r="L13" s="24" t="s">
        <v>288</v>
      </c>
      <c r="M13" s="8"/>
      <c r="N13" s="266"/>
    </row>
    <row r="14" spans="1:14" s="3" customFormat="1" ht="12.2" customHeight="1" x14ac:dyDescent="0.15">
      <c r="A14" s="1" t="s">
        <v>565</v>
      </c>
      <c r="B14" s="2" t="s">
        <v>289</v>
      </c>
      <c r="C14" s="6">
        <v>6</v>
      </c>
      <c r="D14" s="2" t="s">
        <v>428</v>
      </c>
      <c r="E14" s="6">
        <v>150</v>
      </c>
      <c r="F14" s="18">
        <v>1128.46</v>
      </c>
      <c r="G14" s="18">
        <v>30</v>
      </c>
      <c r="H14" s="18">
        <v>0</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v>0</v>
      </c>
      <c r="G16" s="18">
        <v>0</v>
      </c>
      <c r="H16" s="18">
        <v>0</v>
      </c>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v>0</v>
      </c>
      <c r="H17" s="18">
        <v>0</v>
      </c>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v>0</v>
      </c>
      <c r="G18" s="18">
        <v>0</v>
      </c>
      <c r="H18" s="145">
        <v>0</v>
      </c>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1167840.52</v>
      </c>
      <c r="G19" s="41">
        <f>SUM(G9:G18)</f>
        <v>64567.45</v>
      </c>
      <c r="H19" s="41">
        <f>SUM(H9:H18)</f>
        <v>65331.26</v>
      </c>
      <c r="I19" s="41">
        <f>SUM(I9:I18)</f>
        <v>820.28</v>
      </c>
      <c r="J19" s="41">
        <f>SUM(J9:J18)</f>
        <v>937038.49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v>39560.550000000003</v>
      </c>
      <c r="H22" s="18">
        <v>10829.73</v>
      </c>
      <c r="I22" s="18"/>
      <c r="J22" s="67">
        <f>SUM(I449)</f>
        <v>553.45000000000005</v>
      </c>
      <c r="K22" s="24" t="s">
        <v>288</v>
      </c>
      <c r="L22" s="24" t="s">
        <v>288</v>
      </c>
      <c r="M22" s="8"/>
      <c r="N22" s="266"/>
    </row>
    <row r="23" spans="1:14" s="3" customFormat="1" ht="12.2" customHeight="1" x14ac:dyDescent="0.15">
      <c r="A23" s="1" t="s">
        <v>607</v>
      </c>
      <c r="B23" s="2" t="s">
        <v>289</v>
      </c>
      <c r="C23" s="6">
        <v>13</v>
      </c>
      <c r="D23" s="2" t="s">
        <v>429</v>
      </c>
      <c r="E23" s="6">
        <v>410</v>
      </c>
      <c r="F23" s="18">
        <v>0</v>
      </c>
      <c r="G23" s="18">
        <v>0</v>
      </c>
      <c r="H23" s="18">
        <v>0</v>
      </c>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276481.89</v>
      </c>
      <c r="G24" s="18">
        <v>4450.6499999999996</v>
      </c>
      <c r="H24" s="18">
        <v>0</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v>0</v>
      </c>
      <c r="G25" s="145">
        <v>0</v>
      </c>
      <c r="H25" s="18">
        <v>0</v>
      </c>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v>0</v>
      </c>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v>0</v>
      </c>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183018.05</v>
      </c>
      <c r="G28" s="18">
        <v>1331.67</v>
      </c>
      <c r="H28" s="18">
        <v>0</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34913.31</v>
      </c>
      <c r="G29" s="18">
        <v>0</v>
      </c>
      <c r="H29" s="18">
        <v>0</v>
      </c>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3026.97</v>
      </c>
      <c r="G30" s="18">
        <v>19224.580000000002</v>
      </c>
      <c r="H30" s="18">
        <v>16550.23</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0</v>
      </c>
      <c r="G31" s="18">
        <v>0</v>
      </c>
      <c r="H31" s="18">
        <v>0</v>
      </c>
      <c r="I31" s="18"/>
      <c r="J31" s="67">
        <f>SUM(I452)</f>
        <v>277310.03000000003</v>
      </c>
      <c r="K31" s="24" t="s">
        <v>288</v>
      </c>
      <c r="L31" s="24" t="s">
        <v>288</v>
      </c>
      <c r="M31" s="8"/>
      <c r="N31" s="266"/>
    </row>
    <row r="32" spans="1:14" s="3" customFormat="1" ht="12.2" customHeight="1" thickTop="1" x14ac:dyDescent="0.15">
      <c r="A32" s="38" t="s">
        <v>406</v>
      </c>
      <c r="B32" s="39" t="s">
        <v>289</v>
      </c>
      <c r="C32" s="40">
        <v>22</v>
      </c>
      <c r="D32" s="39" t="s">
        <v>429</v>
      </c>
      <c r="E32" s="39"/>
      <c r="F32" s="41">
        <f>SUM(F22:F31)</f>
        <v>497440.22</v>
      </c>
      <c r="G32" s="41">
        <f>SUM(G22:G31)</f>
        <v>64567.450000000004</v>
      </c>
      <c r="H32" s="41">
        <f>SUM(H22:H31)</f>
        <v>27379.96</v>
      </c>
      <c r="I32" s="41">
        <f>SUM(I22:I31)</f>
        <v>0</v>
      </c>
      <c r="J32" s="41">
        <f>SUM(J22:J31)</f>
        <v>277863.48000000004</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417329.46999999881</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0</v>
      </c>
      <c r="H48" s="18">
        <f>37937.47+13.83</f>
        <v>37951.300000000003</v>
      </c>
      <c r="I48" s="18">
        <f>800.17+20.11</f>
        <v>820.28</v>
      </c>
      <c r="J48" s="13">
        <f>SUM(I460)</f>
        <v>659175.01</v>
      </c>
      <c r="K48" s="24" t="s">
        <v>288</v>
      </c>
      <c r="L48" s="24" t="s">
        <v>288</v>
      </c>
      <c r="M48" s="8"/>
      <c r="N48" s="266"/>
    </row>
    <row r="49" spans="1:14" s="3" customFormat="1" ht="12.2" customHeight="1" x14ac:dyDescent="0.15">
      <c r="A49" s="1" t="s">
        <v>859</v>
      </c>
      <c r="B49" s="2" t="s">
        <v>289</v>
      </c>
      <c r="C49" s="6">
        <v>34</v>
      </c>
      <c r="D49" s="2"/>
      <c r="E49" s="6">
        <v>753</v>
      </c>
      <c r="F49" s="18">
        <v>253070.83</v>
      </c>
      <c r="G49" s="18">
        <v>0</v>
      </c>
      <c r="H49" s="18">
        <v>0</v>
      </c>
      <c r="I49" s="18"/>
      <c r="J49" s="13">
        <f>I455</f>
        <v>0</v>
      </c>
      <c r="K49" s="24"/>
      <c r="L49" s="24"/>
      <c r="M49" s="8"/>
      <c r="N49" s="266"/>
    </row>
    <row r="50" spans="1:14" s="3" customFormat="1" ht="12.2" customHeight="1" thickBot="1" x14ac:dyDescent="0.2">
      <c r="A50" s="29" t="s">
        <v>840</v>
      </c>
      <c r="B50" s="2" t="s">
        <v>289</v>
      </c>
      <c r="C50" s="71">
        <v>35</v>
      </c>
      <c r="D50" s="2" t="s">
        <v>653</v>
      </c>
      <c r="E50" s="6">
        <v>770</v>
      </c>
      <c r="F50" s="18">
        <v>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670400.29999999877</v>
      </c>
      <c r="G51" s="41">
        <f>SUM(G35:G50)</f>
        <v>0</v>
      </c>
      <c r="H51" s="41">
        <f>SUM(H35:H50)</f>
        <v>37951.300000000003</v>
      </c>
      <c r="I51" s="41">
        <f>SUM(I35:I50)</f>
        <v>820.28</v>
      </c>
      <c r="J51" s="41">
        <f>SUM(J35:J50)</f>
        <v>659175.01</v>
      </c>
      <c r="K51" s="45" t="s">
        <v>288</v>
      </c>
      <c r="L51" s="45" t="s">
        <v>288</v>
      </c>
      <c r="N51" s="264"/>
    </row>
    <row r="52" spans="1:14" s="3" customFormat="1" ht="12.2" customHeight="1" thickTop="1" x14ac:dyDescent="0.15">
      <c r="A52" s="38" t="s">
        <v>455</v>
      </c>
      <c r="B52" s="39" t="s">
        <v>289</v>
      </c>
      <c r="C52" s="6">
        <v>37</v>
      </c>
      <c r="D52" s="39" t="s">
        <v>653</v>
      </c>
      <c r="E52" s="39"/>
      <c r="F52" s="41">
        <f>F51+F32</f>
        <v>1167840.5199999986</v>
      </c>
      <c r="G52" s="41">
        <f>G51+G32</f>
        <v>64567.450000000004</v>
      </c>
      <c r="H52" s="41">
        <f>H51+H32</f>
        <v>65331.26</v>
      </c>
      <c r="I52" s="41">
        <f>I51+I32</f>
        <v>820.28</v>
      </c>
      <c r="J52" s="41">
        <f>J51+J32</f>
        <v>937038.49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12780409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12780409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35026.21</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2301</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0</v>
      </c>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41451.360000000001</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78778.570000000007</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16988.560000000001</v>
      </c>
      <c r="G96" s="18"/>
      <c r="H96" s="18">
        <v>13.83</v>
      </c>
      <c r="I96" s="18">
        <v>20.11</v>
      </c>
      <c r="J96" s="18">
        <v>363.06</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259803.85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75218.59</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3170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0</v>
      </c>
      <c r="G102" s="18"/>
      <c r="H102" s="18">
        <v>26679.77</v>
      </c>
      <c r="I102" s="18">
        <v>0</v>
      </c>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v>0</v>
      </c>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982.02</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9506.7800000000007</v>
      </c>
      <c r="G109" s="18">
        <v>86.82</v>
      </c>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0</v>
      </c>
      <c r="G110" s="18">
        <v>909.44</v>
      </c>
      <c r="H110" s="18"/>
      <c r="I110" s="18"/>
      <c r="J110" s="18">
        <v>0</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105865.95</v>
      </c>
      <c r="G111" s="41">
        <f>SUM(G96:G110)</f>
        <v>260800.11000000002</v>
      </c>
      <c r="H111" s="41">
        <f>SUM(H96:H110)</f>
        <v>26693.600000000002</v>
      </c>
      <c r="I111" s="41">
        <f>SUM(I96:I110)</f>
        <v>20.11</v>
      </c>
      <c r="J111" s="41">
        <f>SUM(J96:J110)</f>
        <v>363.06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12965053.52</v>
      </c>
      <c r="G112" s="41">
        <f>G60+G111</f>
        <v>260800.11000000002</v>
      </c>
      <c r="H112" s="41">
        <f>H60+H79+H94+H111</f>
        <v>26693.600000000002</v>
      </c>
      <c r="I112" s="41">
        <f>I60+I111</f>
        <v>20.11</v>
      </c>
      <c r="J112" s="41">
        <f>J60+J111</f>
        <v>363.06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1614271.4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1436370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0</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3050641.4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0</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261938.67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2442.8000000000002</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v>0</v>
      </c>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1025.02</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v>0</v>
      </c>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0</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264381.47000000003</v>
      </c>
      <c r="G136" s="41">
        <f>SUM(G123:G135)</f>
        <v>1025.02</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3315022.87</v>
      </c>
      <c r="G140" s="41">
        <f>G121+SUM(G136:G137)</f>
        <v>1025.02</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24558.01</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50638.65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61170.39</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188899.48</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14498.79</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v>0</v>
      </c>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14498.79</v>
      </c>
      <c r="G163" s="41">
        <f>SUM(G150:G162)</f>
        <v>61170.39</v>
      </c>
      <c r="H163" s="41">
        <f>SUM(H150:H162)</f>
        <v>264096.14</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14498.79</v>
      </c>
      <c r="G170" s="41">
        <f>G147+G163+SUM(G164:G169)</f>
        <v>61170.39</v>
      </c>
      <c r="H170" s="41">
        <f>H147+H163+SUM(H164:H169)</f>
        <v>264096.14</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105353.89</v>
      </c>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105353.89</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105353.89</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16294575.18</v>
      </c>
      <c r="G194" s="47">
        <f>G112+G140+G170+G193</f>
        <v>428349.41000000003</v>
      </c>
      <c r="H194" s="47">
        <f>H112+H140+H170+H193</f>
        <v>290789.74</v>
      </c>
      <c r="I194" s="47">
        <f>I112+I140+I170+I193</f>
        <v>20.11</v>
      </c>
      <c r="J194" s="47">
        <f>J112+J140+J193</f>
        <v>363.06</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c r="I198" s="18"/>
      <c r="J198" s="18"/>
      <c r="K198" s="18"/>
      <c r="L198" s="19">
        <f>SUM(F198:K198)</f>
        <v>0</v>
      </c>
      <c r="M198" s="8"/>
      <c r="N198" s="266"/>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c r="G205" s="18"/>
      <c r="H205" s="18"/>
      <c r="I205" s="18"/>
      <c r="J205" s="18"/>
      <c r="K205" s="18"/>
      <c r="L205" s="19">
        <f t="shared" si="0"/>
        <v>0</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c r="I209" s="18"/>
      <c r="J209" s="18"/>
      <c r="K209" s="18"/>
      <c r="L209" s="19">
        <f t="shared" si="0"/>
        <v>0</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0</v>
      </c>
      <c r="I212" s="41">
        <f t="shared" si="1"/>
        <v>0</v>
      </c>
      <c r="J212" s="41">
        <f t="shared" si="1"/>
        <v>0</v>
      </c>
      <c r="K212" s="41">
        <f t="shared" si="1"/>
        <v>0</v>
      </c>
      <c r="L212" s="41">
        <f t="shared" si="1"/>
        <v>0</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4807135.09</v>
      </c>
      <c r="G234" s="18">
        <v>2187031.88</v>
      </c>
      <c r="H234" s="18">
        <v>2385.33</v>
      </c>
      <c r="I234" s="18">
        <v>95858.42</v>
      </c>
      <c r="J234" s="18">
        <v>111413.14</v>
      </c>
      <c r="K234" s="18">
        <v>493</v>
      </c>
      <c r="L234" s="19">
        <f>SUM(F234:K234)</f>
        <v>7204316.8599999994</v>
      </c>
      <c r="M234" s="8"/>
      <c r="N234" s="266"/>
    </row>
    <row r="235" spans="1:14" s="3" customFormat="1" ht="12.2" customHeight="1" x14ac:dyDescent="0.15">
      <c r="A235" s="1" t="s">
        <v>439</v>
      </c>
      <c r="B235" s="2" t="s">
        <v>350</v>
      </c>
      <c r="C235" s="2" t="s">
        <v>291</v>
      </c>
      <c r="D235" s="2" t="s">
        <v>431</v>
      </c>
      <c r="E235" s="6">
        <v>1200</v>
      </c>
      <c r="F235" s="18">
        <v>1295798.56</v>
      </c>
      <c r="G235" s="18">
        <v>658713.86</v>
      </c>
      <c r="H235" s="18">
        <v>417355.33</v>
      </c>
      <c r="I235" s="18">
        <v>5050.57</v>
      </c>
      <c r="J235" s="18">
        <v>7240.61</v>
      </c>
      <c r="K235" s="18">
        <v>0</v>
      </c>
      <c r="L235" s="19">
        <f>SUM(F235:K235)</f>
        <v>2384158.9299999997</v>
      </c>
      <c r="M235" s="8"/>
      <c r="N235" s="266"/>
    </row>
    <row r="236" spans="1:14" s="3" customFormat="1" ht="12.2" customHeight="1" x14ac:dyDescent="0.15">
      <c r="A236" s="1" t="s">
        <v>440</v>
      </c>
      <c r="B236" s="2" t="s">
        <v>350</v>
      </c>
      <c r="C236" s="2" t="s">
        <v>292</v>
      </c>
      <c r="D236" s="2" t="s">
        <v>431</v>
      </c>
      <c r="E236" s="6">
        <v>1300</v>
      </c>
      <c r="F236" s="18"/>
      <c r="G236" s="18"/>
      <c r="H236" s="18">
        <v>16377.48</v>
      </c>
      <c r="I236" s="18"/>
      <c r="J236" s="18"/>
      <c r="K236" s="18"/>
      <c r="L236" s="19">
        <f>SUM(F236:K236)</f>
        <v>16377.48</v>
      </c>
      <c r="M236" s="8"/>
      <c r="N236" s="266"/>
    </row>
    <row r="237" spans="1:14" s="3" customFormat="1" ht="12.2" customHeight="1" x14ac:dyDescent="0.15">
      <c r="A237" s="1" t="s">
        <v>441</v>
      </c>
      <c r="B237" s="2" t="s">
        <v>350</v>
      </c>
      <c r="C237" s="2" t="s">
        <v>293</v>
      </c>
      <c r="D237" s="2" t="s">
        <v>431</v>
      </c>
      <c r="E237" s="6">
        <v>1400</v>
      </c>
      <c r="F237" s="18">
        <v>336891.38</v>
      </c>
      <c r="G237" s="18">
        <v>81303.88</v>
      </c>
      <c r="H237" s="18">
        <v>119622.47</v>
      </c>
      <c r="I237" s="18">
        <v>41040.49</v>
      </c>
      <c r="J237" s="18">
        <v>27383.48</v>
      </c>
      <c r="K237" s="18">
        <v>18769</v>
      </c>
      <c r="L237" s="19">
        <f>SUM(F237:K237)</f>
        <v>625010.69999999995</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1029123.35</v>
      </c>
      <c r="G239" s="18">
        <v>452309.86</v>
      </c>
      <c r="H239" s="18">
        <v>202304.47</v>
      </c>
      <c r="I239" s="18">
        <v>6308.04</v>
      </c>
      <c r="J239" s="18">
        <v>0</v>
      </c>
      <c r="K239" s="18">
        <v>920</v>
      </c>
      <c r="L239" s="19">
        <f t="shared" ref="L239:L245" si="4">SUM(F239:K239)</f>
        <v>1690965.72</v>
      </c>
      <c r="M239" s="8"/>
      <c r="N239" s="266"/>
    </row>
    <row r="240" spans="1:14" s="3" customFormat="1" ht="12.2" customHeight="1" x14ac:dyDescent="0.15">
      <c r="A240" s="1" t="s">
        <v>443</v>
      </c>
      <c r="B240" s="2" t="s">
        <v>350</v>
      </c>
      <c r="C240" s="2" t="s">
        <v>295</v>
      </c>
      <c r="D240" s="2" t="s">
        <v>431</v>
      </c>
      <c r="E240" s="6">
        <v>2200</v>
      </c>
      <c r="F240" s="18">
        <v>226122.31</v>
      </c>
      <c r="G240" s="18">
        <v>176609.52</v>
      </c>
      <c r="H240" s="18">
        <v>0</v>
      </c>
      <c r="I240" s="18">
        <v>46634.41</v>
      </c>
      <c r="J240" s="18">
        <v>0</v>
      </c>
      <c r="K240" s="18">
        <v>322</v>
      </c>
      <c r="L240" s="19">
        <f t="shared" si="4"/>
        <v>449688.24</v>
      </c>
      <c r="M240" s="8"/>
      <c r="N240" s="266"/>
    </row>
    <row r="241" spans="1:14" s="3" customFormat="1" ht="12.2" customHeight="1" x14ac:dyDescent="0.15">
      <c r="A241" s="1" t="s">
        <v>444</v>
      </c>
      <c r="B241" s="2" t="s">
        <v>350</v>
      </c>
      <c r="C241" s="2" t="s">
        <v>296</v>
      </c>
      <c r="D241" s="2" t="s">
        <v>431</v>
      </c>
      <c r="E241" s="6">
        <v>2300</v>
      </c>
      <c r="F241" s="18">
        <v>142851.43</v>
      </c>
      <c r="G241" s="18">
        <v>64555.32</v>
      </c>
      <c r="H241" s="18">
        <v>918665.91</v>
      </c>
      <c r="I241" s="18">
        <v>476.14</v>
      </c>
      <c r="J241" s="18">
        <v>0</v>
      </c>
      <c r="K241" s="18">
        <v>7573.29</v>
      </c>
      <c r="L241" s="19">
        <f t="shared" si="4"/>
        <v>1134122.0900000001</v>
      </c>
      <c r="M241" s="8"/>
      <c r="N241" s="266"/>
    </row>
    <row r="242" spans="1:14" s="3" customFormat="1" ht="12.2" customHeight="1" x14ac:dyDescent="0.15">
      <c r="A242" s="1" t="s">
        <v>445</v>
      </c>
      <c r="B242" s="2" t="s">
        <v>350</v>
      </c>
      <c r="C242" s="2" t="s">
        <v>297</v>
      </c>
      <c r="D242" s="2" t="s">
        <v>431</v>
      </c>
      <c r="E242" s="6">
        <v>2400</v>
      </c>
      <c r="F242" s="18">
        <v>608700.21</v>
      </c>
      <c r="G242" s="18">
        <v>188958.8</v>
      </c>
      <c r="H242" s="18">
        <v>81909.25</v>
      </c>
      <c r="I242" s="18">
        <v>28591.13</v>
      </c>
      <c r="J242" s="18">
        <v>478</v>
      </c>
      <c r="K242" s="18">
        <v>4283</v>
      </c>
      <c r="L242" s="19">
        <f t="shared" si="4"/>
        <v>912920.39</v>
      </c>
      <c r="M242" s="8"/>
      <c r="N242" s="266"/>
    </row>
    <row r="243" spans="1:14" s="3" customFormat="1" ht="12.2" customHeight="1" x14ac:dyDescent="0.15">
      <c r="A243" s="1" t="s">
        <v>446</v>
      </c>
      <c r="B243" s="2" t="s">
        <v>350</v>
      </c>
      <c r="C243" s="2" t="s">
        <v>298</v>
      </c>
      <c r="D243" s="2" t="s">
        <v>431</v>
      </c>
      <c r="E243" s="6">
        <v>2500</v>
      </c>
      <c r="F243" s="18">
        <v>0</v>
      </c>
      <c r="G243" s="18">
        <v>0</v>
      </c>
      <c r="H243" s="18">
        <v>462</v>
      </c>
      <c r="I243" s="18">
        <v>0</v>
      </c>
      <c r="J243" s="18">
        <v>0</v>
      </c>
      <c r="K243" s="18">
        <v>0</v>
      </c>
      <c r="L243" s="19">
        <f t="shared" si="4"/>
        <v>462</v>
      </c>
      <c r="M243" s="8"/>
      <c r="N243" s="266"/>
    </row>
    <row r="244" spans="1:14" s="3" customFormat="1" ht="12.2" customHeight="1" x14ac:dyDescent="0.15">
      <c r="A244" s="1" t="s">
        <v>447</v>
      </c>
      <c r="B244" s="2" t="s">
        <v>350</v>
      </c>
      <c r="C244" s="2" t="s">
        <v>299</v>
      </c>
      <c r="D244" s="2" t="s">
        <v>431</v>
      </c>
      <c r="E244" s="6">
        <v>2600</v>
      </c>
      <c r="F244" s="18">
        <v>378688.46</v>
      </c>
      <c r="G244" s="18">
        <v>195653.38</v>
      </c>
      <c r="H244" s="18">
        <f>342487.36+16634.24</f>
        <v>359121.6</v>
      </c>
      <c r="I244" s="18">
        <v>368647.12</v>
      </c>
      <c r="J244" s="18">
        <f>39059.15+12915</f>
        <v>51974.15</v>
      </c>
      <c r="K244" s="18">
        <v>48.25</v>
      </c>
      <c r="L244" s="19">
        <f t="shared" si="4"/>
        <v>1354132.96</v>
      </c>
      <c r="M244" s="8"/>
      <c r="N244" s="266"/>
    </row>
    <row r="245" spans="1:14" s="3" customFormat="1" ht="12.2" customHeight="1" x14ac:dyDescent="0.15">
      <c r="A245" s="1" t="s">
        <v>448</v>
      </c>
      <c r="B245" s="2" t="s">
        <v>350</v>
      </c>
      <c r="C245" s="2" t="s">
        <v>300</v>
      </c>
      <c r="D245" s="2" t="s">
        <v>431</v>
      </c>
      <c r="E245" s="6">
        <v>2700</v>
      </c>
      <c r="F245" s="18">
        <v>0</v>
      </c>
      <c r="G245" s="18">
        <v>0</v>
      </c>
      <c r="H245" s="18">
        <v>461074.28</v>
      </c>
      <c r="I245" s="18">
        <v>120.82</v>
      </c>
      <c r="J245" s="18">
        <v>0</v>
      </c>
      <c r="K245" s="18">
        <v>0</v>
      </c>
      <c r="L245" s="19">
        <f t="shared" si="4"/>
        <v>461195.10000000003</v>
      </c>
      <c r="M245" s="8"/>
      <c r="N245" s="266"/>
    </row>
    <row r="246" spans="1:14" s="3" customFormat="1" ht="12.2" customHeight="1" x14ac:dyDescent="0.15">
      <c r="A246" s="1" t="s">
        <v>449</v>
      </c>
      <c r="B246" s="2" t="s">
        <v>350</v>
      </c>
      <c r="C246" s="2" t="s">
        <v>343</v>
      </c>
      <c r="D246" s="2" t="s">
        <v>431</v>
      </c>
      <c r="E246" s="6">
        <v>2800</v>
      </c>
      <c r="F246" s="18">
        <v>166859.78</v>
      </c>
      <c r="G246" s="18">
        <v>75196.62</v>
      </c>
      <c r="H246" s="18">
        <v>104905.16</v>
      </c>
      <c r="I246" s="18">
        <v>39044.769999999997</v>
      </c>
      <c r="J246" s="18">
        <v>15521.28</v>
      </c>
      <c r="K246" s="18">
        <v>0</v>
      </c>
      <c r="L246" s="19">
        <f>SUM(F246:K246)</f>
        <v>401527.61000000004</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8992170.5699999984</v>
      </c>
      <c r="G248" s="41">
        <f t="shared" si="5"/>
        <v>4080333.1199999992</v>
      </c>
      <c r="H248" s="41">
        <f t="shared" si="5"/>
        <v>2684183.2800000003</v>
      </c>
      <c r="I248" s="41">
        <f t="shared" si="5"/>
        <v>631771.91</v>
      </c>
      <c r="J248" s="41">
        <f t="shared" si="5"/>
        <v>214010.66</v>
      </c>
      <c r="K248" s="41">
        <f t="shared" si="5"/>
        <v>32408.54</v>
      </c>
      <c r="L248" s="41">
        <f t="shared" si="5"/>
        <v>16634878.08</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8992170.5699999984</v>
      </c>
      <c r="G258" s="41">
        <f t="shared" si="8"/>
        <v>4080333.1199999992</v>
      </c>
      <c r="H258" s="41">
        <f t="shared" si="8"/>
        <v>2684183.2800000003</v>
      </c>
      <c r="I258" s="41">
        <f t="shared" si="8"/>
        <v>631771.91</v>
      </c>
      <c r="J258" s="41">
        <f t="shared" si="8"/>
        <v>214010.66</v>
      </c>
      <c r="K258" s="41">
        <f t="shared" si="8"/>
        <v>32408.54</v>
      </c>
      <c r="L258" s="41">
        <f t="shared" si="8"/>
        <v>16634878.08</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155000</v>
      </c>
      <c r="L261" s="19">
        <f>SUM(F261:K261)</f>
        <v>155000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12245</v>
      </c>
      <c r="L262" s="19">
        <f>SUM(F262:K262)</f>
        <v>12245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105353.89</v>
      </c>
      <c r="L264" s="19">
        <f>SUM(F264:K264)</f>
        <v>105353.89</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272598.89</v>
      </c>
      <c r="L271" s="41">
        <f t="shared" si="9"/>
        <v>272598.89</v>
      </c>
      <c r="M271" s="8"/>
      <c r="N271" s="266"/>
    </row>
    <row r="272" spans="1:14" s="34" customFormat="1" ht="12.2" customHeight="1" thickTop="1" x14ac:dyDescent="0.2">
      <c r="A272" s="43" t="s">
        <v>464</v>
      </c>
      <c r="B272" s="40">
        <v>10</v>
      </c>
      <c r="C272" s="40">
        <v>18</v>
      </c>
      <c r="D272" s="39" t="s">
        <v>431</v>
      </c>
      <c r="E272" s="40"/>
      <c r="F272" s="42">
        <f t="shared" ref="F272:L272" si="11">F258+F271</f>
        <v>8992170.5699999984</v>
      </c>
      <c r="G272" s="42">
        <f t="shared" si="11"/>
        <v>4080333.1199999992</v>
      </c>
      <c r="H272" s="42">
        <f t="shared" si="11"/>
        <v>2684183.2800000003</v>
      </c>
      <c r="I272" s="42">
        <f t="shared" si="11"/>
        <v>631771.91</v>
      </c>
      <c r="J272" s="42">
        <f t="shared" si="11"/>
        <v>214010.66</v>
      </c>
      <c r="K272" s="42">
        <f t="shared" si="11"/>
        <v>305007.43</v>
      </c>
      <c r="L272" s="42">
        <f t="shared" si="11"/>
        <v>16907476.969999999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1015</v>
      </c>
      <c r="G315" s="18">
        <v>258.31</v>
      </c>
      <c r="H315" s="18">
        <v>0</v>
      </c>
      <c r="I315" s="18">
        <v>574.91</v>
      </c>
      <c r="J315" s="18">
        <v>0</v>
      </c>
      <c r="K315" s="18">
        <v>0</v>
      </c>
      <c r="L315" s="19">
        <f>SUM(F315:K315)</f>
        <v>1848.2199999999998</v>
      </c>
      <c r="M315" s="8"/>
      <c r="N315" s="266"/>
    </row>
    <row r="316" spans="1:14" s="3" customFormat="1" ht="12.2" customHeight="1" x14ac:dyDescent="0.15">
      <c r="A316" s="1" t="s">
        <v>439</v>
      </c>
      <c r="B316" s="2" t="s">
        <v>359</v>
      </c>
      <c r="C316" s="2" t="s">
        <v>291</v>
      </c>
      <c r="D316" s="2" t="s">
        <v>431</v>
      </c>
      <c r="E316" s="6">
        <v>1200</v>
      </c>
      <c r="F316" s="18">
        <v>126885.39</v>
      </c>
      <c r="G316" s="18">
        <v>26553.65</v>
      </c>
      <c r="H316" s="18">
        <v>0</v>
      </c>
      <c r="I316" s="18">
        <v>6056.89</v>
      </c>
      <c r="J316" s="18">
        <v>2609.65</v>
      </c>
      <c r="K316" s="18">
        <v>0</v>
      </c>
      <c r="L316" s="19">
        <f>SUM(F316:K316)</f>
        <v>162105.58000000002</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v>13605.2</v>
      </c>
      <c r="G318" s="18">
        <v>2780.98</v>
      </c>
      <c r="H318" s="18">
        <v>0</v>
      </c>
      <c r="I318" s="18">
        <v>1600</v>
      </c>
      <c r="J318" s="18">
        <v>926.58</v>
      </c>
      <c r="K318" s="18">
        <v>0</v>
      </c>
      <c r="L318" s="19">
        <f>SUM(F318:K318)</f>
        <v>18912.760000000002</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2500</v>
      </c>
      <c r="G320" s="18">
        <v>574.26</v>
      </c>
      <c r="H320" s="18">
        <v>26793.9</v>
      </c>
      <c r="I320" s="18">
        <v>0</v>
      </c>
      <c r="J320" s="18">
        <v>0</v>
      </c>
      <c r="K320" s="18">
        <v>0</v>
      </c>
      <c r="L320" s="19">
        <f t="shared" ref="L320:L326" si="16">SUM(F320:K320)</f>
        <v>29868.160000000003</v>
      </c>
      <c r="M320" s="8"/>
      <c r="N320" s="266"/>
    </row>
    <row r="321" spans="1:14" s="3" customFormat="1" ht="12.2" customHeight="1" x14ac:dyDescent="0.15">
      <c r="A321" s="1" t="s">
        <v>443</v>
      </c>
      <c r="B321" s="2" t="s">
        <v>359</v>
      </c>
      <c r="C321" s="2" t="s">
        <v>295</v>
      </c>
      <c r="D321" s="2" t="s">
        <v>431</v>
      </c>
      <c r="E321" s="6">
        <v>2200</v>
      </c>
      <c r="F321" s="18">
        <v>29950</v>
      </c>
      <c r="G321" s="18">
        <v>7453.66</v>
      </c>
      <c r="H321" s="18">
        <v>27740.12</v>
      </c>
      <c r="I321" s="18">
        <v>1838.03</v>
      </c>
      <c r="J321" s="18">
        <v>0</v>
      </c>
      <c r="K321" s="18">
        <v>0</v>
      </c>
      <c r="L321" s="19">
        <f t="shared" si="16"/>
        <v>66981.81</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v>0</v>
      </c>
      <c r="G323" s="18">
        <v>0</v>
      </c>
      <c r="H323" s="18">
        <v>2305.38</v>
      </c>
      <c r="I323" s="18">
        <v>0</v>
      </c>
      <c r="J323" s="18">
        <v>0</v>
      </c>
      <c r="K323" s="18">
        <v>0</v>
      </c>
      <c r="L323" s="19">
        <f t="shared" si="16"/>
        <v>2305.38</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v>6850</v>
      </c>
      <c r="G327" s="18">
        <v>1542.35</v>
      </c>
      <c r="H327" s="18">
        <v>361.65</v>
      </c>
      <c r="I327" s="18">
        <v>0</v>
      </c>
      <c r="J327" s="18">
        <v>0</v>
      </c>
      <c r="K327" s="18">
        <v>0</v>
      </c>
      <c r="L327" s="19">
        <f>SUM(F327:K327)</f>
        <v>8754</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180805.59</v>
      </c>
      <c r="G329" s="42">
        <f t="shared" si="17"/>
        <v>39163.21</v>
      </c>
      <c r="H329" s="42">
        <f t="shared" si="17"/>
        <v>57201.05</v>
      </c>
      <c r="I329" s="42">
        <f t="shared" si="17"/>
        <v>10069.83</v>
      </c>
      <c r="J329" s="42">
        <f t="shared" si="17"/>
        <v>3536.23</v>
      </c>
      <c r="K329" s="42">
        <f t="shared" si="17"/>
        <v>0</v>
      </c>
      <c r="L329" s="41">
        <f t="shared" si="17"/>
        <v>290775.91000000003</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180805.59</v>
      </c>
      <c r="G339" s="41">
        <f t="shared" si="20"/>
        <v>39163.21</v>
      </c>
      <c r="H339" s="41">
        <f t="shared" si="20"/>
        <v>57201.05</v>
      </c>
      <c r="I339" s="41">
        <f t="shared" si="20"/>
        <v>10069.83</v>
      </c>
      <c r="J339" s="41">
        <f t="shared" si="20"/>
        <v>3536.23</v>
      </c>
      <c r="K339" s="41">
        <f t="shared" si="20"/>
        <v>0</v>
      </c>
      <c r="L339" s="41">
        <f t="shared" si="20"/>
        <v>290775.91000000003</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180805.59</v>
      </c>
      <c r="G353" s="41">
        <f>G339</f>
        <v>39163.21</v>
      </c>
      <c r="H353" s="41">
        <f>H339</f>
        <v>57201.05</v>
      </c>
      <c r="I353" s="41">
        <f>I339</f>
        <v>10069.83</v>
      </c>
      <c r="J353" s="41">
        <f>J339</f>
        <v>3536.23</v>
      </c>
      <c r="K353" s="47">
        <f>K339+K352</f>
        <v>0</v>
      </c>
      <c r="L353" s="41">
        <f>L339+L352</f>
        <v>290775.91000000003</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v>174000.89</v>
      </c>
      <c r="G361" s="18">
        <v>93464.33</v>
      </c>
      <c r="H361" s="18">
        <v>39240.71</v>
      </c>
      <c r="I361" s="18">
        <v>121443.28</v>
      </c>
      <c r="J361" s="18">
        <v>0</v>
      </c>
      <c r="K361" s="18">
        <v>200.2</v>
      </c>
      <c r="L361" s="19">
        <f>SUM(F361:K361)</f>
        <v>428349.41000000009</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174000.89</v>
      </c>
      <c r="G363" s="47">
        <f t="shared" si="22"/>
        <v>93464.33</v>
      </c>
      <c r="H363" s="47">
        <f t="shared" si="22"/>
        <v>39240.71</v>
      </c>
      <c r="I363" s="47">
        <f t="shared" si="22"/>
        <v>121443.28</v>
      </c>
      <c r="J363" s="47">
        <f t="shared" si="22"/>
        <v>0</v>
      </c>
      <c r="K363" s="47">
        <f t="shared" si="22"/>
        <v>200.2</v>
      </c>
      <c r="L363" s="47">
        <f t="shared" si="22"/>
        <v>428349.41000000009</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v>114303.6</v>
      </c>
      <c r="I368" s="56">
        <f>SUM(F368:H368)</f>
        <v>114303.6</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v>7139.68</v>
      </c>
      <c r="I369" s="56">
        <f>SUM(F369:H369)</f>
        <v>7139.68</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121443.28</v>
      </c>
      <c r="I370" s="47">
        <f>SUM(I368:I369)</f>
        <v>121443.28</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3849.67</v>
      </c>
      <c r="I397" s="18"/>
      <c r="J397" s="24" t="s">
        <v>288</v>
      </c>
      <c r="K397" s="24" t="s">
        <v>288</v>
      </c>
      <c r="L397" s="56">
        <f t="shared" si="26"/>
        <v>3849.67</v>
      </c>
      <c r="M397" s="8"/>
      <c r="N397" s="266"/>
    </row>
    <row r="398" spans="1:14" s="3" customFormat="1" ht="12.2" customHeight="1" x14ac:dyDescent="0.15">
      <c r="A398" s="79" t="s">
        <v>515</v>
      </c>
      <c r="B398" s="2" t="s">
        <v>381</v>
      </c>
      <c r="C398" s="6">
        <v>10</v>
      </c>
      <c r="D398" s="2" t="s">
        <v>432</v>
      </c>
      <c r="E398" s="6"/>
      <c r="F398" s="18"/>
      <c r="G398" s="18"/>
      <c r="H398" s="18">
        <v>-4316.3500000000004</v>
      </c>
      <c r="I398" s="18"/>
      <c r="J398" s="24" t="s">
        <v>288</v>
      </c>
      <c r="K398" s="24" t="s">
        <v>288</v>
      </c>
      <c r="L398" s="56">
        <f t="shared" si="26"/>
        <v>-4316.3500000000004</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v>829.74</v>
      </c>
      <c r="I401" s="18"/>
      <c r="J401" s="24" t="s">
        <v>288</v>
      </c>
      <c r="K401" s="24" t="s">
        <v>288</v>
      </c>
      <c r="L401" s="56">
        <f t="shared" si="26"/>
        <v>829.74</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363.05999999999972</v>
      </c>
      <c r="I402" s="47">
        <f>SUM(I396:I401)</f>
        <v>0</v>
      </c>
      <c r="J402" s="45" t="s">
        <v>288</v>
      </c>
      <c r="K402" s="45" t="s">
        <v>288</v>
      </c>
      <c r="L402" s="47">
        <f>SUM(L396:L401)</f>
        <v>363.05999999999972</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363.05999999999972</v>
      </c>
      <c r="I409" s="47">
        <f>I394+I402+I408</f>
        <v>0</v>
      </c>
      <c r="J409" s="24" t="s">
        <v>288</v>
      </c>
      <c r="K409" s="24" t="s">
        <v>288</v>
      </c>
      <c r="L409" s="47">
        <f>L394+L402+L408</f>
        <v>363.05999999999972</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t="s">
        <v>1642</v>
      </c>
      <c r="B430" s="6">
        <v>17</v>
      </c>
      <c r="C430" s="6">
        <v>15</v>
      </c>
      <c r="D430" s="2" t="s">
        <v>432</v>
      </c>
      <c r="E430" s="6"/>
      <c r="F430" s="18">
        <v>1350</v>
      </c>
      <c r="G430" s="18">
        <f>18.77+240.3+83.7</f>
        <v>342.77</v>
      </c>
      <c r="H430" s="18"/>
      <c r="I430" s="18"/>
      <c r="J430" s="18"/>
      <c r="K430" s="18"/>
      <c r="L430" s="56">
        <f>SUM(F430:K430)</f>
        <v>1692.77</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1350</v>
      </c>
      <c r="G434" s="47">
        <f t="shared" si="31"/>
        <v>342.77</v>
      </c>
      <c r="H434" s="47">
        <f t="shared" si="31"/>
        <v>0</v>
      </c>
      <c r="I434" s="47">
        <f t="shared" si="31"/>
        <v>0</v>
      </c>
      <c r="J434" s="47">
        <f t="shared" si="31"/>
        <v>0</v>
      </c>
      <c r="K434" s="47">
        <f t="shared" si="31"/>
        <v>0</v>
      </c>
      <c r="L434" s="47">
        <f t="shared" si="31"/>
        <v>1692.77</v>
      </c>
      <c r="M434" s="8"/>
      <c r="N434" s="266"/>
    </row>
    <row r="435" spans="1:14" s="3" customFormat="1" ht="12.2" customHeight="1" thickTop="1" x14ac:dyDescent="0.15">
      <c r="A435" s="78" t="s">
        <v>422</v>
      </c>
      <c r="B435" s="6">
        <v>17</v>
      </c>
      <c r="C435" s="6">
        <v>20</v>
      </c>
      <c r="D435" s="2" t="s">
        <v>432</v>
      </c>
      <c r="E435" s="40"/>
      <c r="F435" s="47">
        <f t="shared" ref="F435:L435" si="32">F420+F428+F434</f>
        <v>1350</v>
      </c>
      <c r="G435" s="47">
        <f t="shared" si="32"/>
        <v>342.77</v>
      </c>
      <c r="H435" s="47">
        <f t="shared" si="32"/>
        <v>0</v>
      </c>
      <c r="I435" s="47">
        <f t="shared" si="32"/>
        <v>0</v>
      </c>
      <c r="J435" s="47">
        <f t="shared" si="32"/>
        <v>0</v>
      </c>
      <c r="K435" s="47">
        <f t="shared" si="32"/>
        <v>0</v>
      </c>
      <c r="L435" s="47">
        <f t="shared" si="32"/>
        <v>1692.77</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f>272073.09+5236.94</f>
        <v>277310.03000000003</v>
      </c>
      <c r="I440" s="56">
        <f t="shared" ref="I440:I446" si="33">SUM(F440:H440)</f>
        <v>277310.03000000003</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v>659728.46</v>
      </c>
      <c r="H443" s="18"/>
      <c r="I443" s="56">
        <f t="shared" si="33"/>
        <v>659728.46</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659728.46</v>
      </c>
      <c r="H447" s="13">
        <f>SUM(H440:H446)</f>
        <v>277310.03000000003</v>
      </c>
      <c r="I447" s="13">
        <f>SUM(I440:I446)</f>
        <v>937038.49</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v>553.45000000000005</v>
      </c>
      <c r="I449" s="56">
        <f>SUM(F449:H449)</f>
        <v>553.45000000000005</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f>H440</f>
        <v>277310.03000000003</v>
      </c>
      <c r="I452" s="56">
        <f>SUM(F452:H452)</f>
        <v>277310.03000000003</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277863.48000000004</v>
      </c>
      <c r="I453" s="72">
        <f>SUM(I449:I452)</f>
        <v>277863.48000000004</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f>G443</f>
        <v>659728.46</v>
      </c>
      <c r="H460" s="18">
        <v>-553.45000000000005</v>
      </c>
      <c r="I460" s="56">
        <f t="shared" si="34"/>
        <v>659175.01</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659728.46</v>
      </c>
      <c r="H461" s="83">
        <f>SUM(H455:H460)</f>
        <v>-553.45000000000005</v>
      </c>
      <c r="I461" s="83">
        <f>SUM(I455:I460)</f>
        <v>659175.01</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659728.46</v>
      </c>
      <c r="H462" s="42">
        <f>H453+H461</f>
        <v>277310.03000000003</v>
      </c>
      <c r="I462" s="42">
        <f>I453+I461</f>
        <v>937038.49</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1283302.0900000001</v>
      </c>
      <c r="G466" s="18">
        <v>0</v>
      </c>
      <c r="H466" s="18">
        <v>37937.47</v>
      </c>
      <c r="I466" s="18">
        <v>800.17</v>
      </c>
      <c r="J466" s="18">
        <v>660504.72</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16294575.18</v>
      </c>
      <c r="G469" s="18">
        <f t="shared" ref="G469:J469" si="35">G194</f>
        <v>428349.41000000003</v>
      </c>
      <c r="H469" s="18">
        <f t="shared" si="35"/>
        <v>290789.74</v>
      </c>
      <c r="I469" s="18">
        <f t="shared" si="35"/>
        <v>20.11</v>
      </c>
      <c r="J469" s="18">
        <f t="shared" si="35"/>
        <v>363.06</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16294575.18</v>
      </c>
      <c r="G471" s="53">
        <f>SUM(G469:G470)</f>
        <v>428349.41000000003</v>
      </c>
      <c r="H471" s="53">
        <f>SUM(H469:H470)</f>
        <v>290789.74</v>
      </c>
      <c r="I471" s="53">
        <f>SUM(I469:I470)</f>
        <v>20.11</v>
      </c>
      <c r="J471" s="53">
        <f>SUM(J469:J470)</f>
        <v>363.06</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16907476.969999999</v>
      </c>
      <c r="G473" s="18">
        <f>L363</f>
        <v>428349.41000000009</v>
      </c>
      <c r="H473" s="18">
        <f>L353</f>
        <v>290775.91000000003</v>
      </c>
      <c r="I473" s="18">
        <f>L383</f>
        <v>0</v>
      </c>
      <c r="J473" s="18">
        <f>L435</f>
        <v>1692.77</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16907476.969999999</v>
      </c>
      <c r="G475" s="53">
        <f>SUM(G473:G474)</f>
        <v>428349.41000000009</v>
      </c>
      <c r="H475" s="53">
        <f>SUM(H473:H474)</f>
        <v>290775.91000000003</v>
      </c>
      <c r="I475" s="53">
        <f>SUM(I473:I474)</f>
        <v>0</v>
      </c>
      <c r="J475" s="53">
        <f>SUM(J473:J474)</f>
        <v>1692.77</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670400.30000000075</v>
      </c>
      <c r="G477" s="53">
        <f>(G466+G471)- G475</f>
        <v>0</v>
      </c>
      <c r="H477" s="53">
        <f>(H466+H471)- H475</f>
        <v>37951.29999999993</v>
      </c>
      <c r="I477" s="53">
        <f>(I466+I471)- I475</f>
        <v>820.28</v>
      </c>
      <c r="J477" s="53">
        <f>(J466+J471)- J475</f>
        <v>659175.01</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7</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1090000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2.14</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310000</v>
      </c>
      <c r="G496" s="18"/>
      <c r="H496" s="18"/>
      <c r="I496" s="18"/>
      <c r="J496" s="18"/>
      <c r="K496" s="53">
        <f>SUM(F496:J496)</f>
        <v>310000</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6">SUM(F497:J497)</f>
        <v>0</v>
      </c>
      <c r="L497" s="24" t="s">
        <v>288</v>
      </c>
      <c r="N497" s="265"/>
    </row>
    <row r="498" spans="1:14" s="52" customFormat="1" ht="12.2" customHeight="1" x14ac:dyDescent="0.2">
      <c r="A498" s="22" t="s">
        <v>621</v>
      </c>
      <c r="B498" s="75">
        <v>20</v>
      </c>
      <c r="C498" s="115">
        <v>8</v>
      </c>
      <c r="D498" s="2" t="s">
        <v>432</v>
      </c>
      <c r="E498" s="115"/>
      <c r="F498" s="18">
        <v>155000</v>
      </c>
      <c r="G498" s="18"/>
      <c r="H498" s="18"/>
      <c r="I498" s="18"/>
      <c r="J498" s="18"/>
      <c r="K498" s="53">
        <f t="shared" si="36"/>
        <v>155000</v>
      </c>
      <c r="L498" s="24" t="s">
        <v>288</v>
      </c>
      <c r="N498" s="265"/>
    </row>
    <row r="499" spans="1:14" s="52" customFormat="1" ht="12.2" customHeight="1" x14ac:dyDescent="0.2">
      <c r="A499" s="200" t="s">
        <v>622</v>
      </c>
      <c r="B499" s="201">
        <v>20</v>
      </c>
      <c r="C499" s="202">
        <v>9</v>
      </c>
      <c r="D499" s="203" t="s">
        <v>432</v>
      </c>
      <c r="E499" s="202"/>
      <c r="F499" s="204">
        <v>155000</v>
      </c>
      <c r="G499" s="204"/>
      <c r="H499" s="204"/>
      <c r="I499" s="204"/>
      <c r="J499" s="204"/>
      <c r="K499" s="205">
        <f t="shared" si="36"/>
        <v>155000</v>
      </c>
      <c r="L499" s="206" t="s">
        <v>288</v>
      </c>
      <c r="N499" s="265"/>
    </row>
    <row r="500" spans="1:14" s="52" customFormat="1" ht="12.2" customHeight="1" thickBot="1" x14ac:dyDescent="0.25">
      <c r="A500" s="22" t="s">
        <v>623</v>
      </c>
      <c r="B500" s="75">
        <v>20</v>
      </c>
      <c r="C500" s="115">
        <v>10</v>
      </c>
      <c r="D500" s="2" t="s">
        <v>432</v>
      </c>
      <c r="E500" s="115"/>
      <c r="F500" s="18">
        <v>4146.25</v>
      </c>
      <c r="G500" s="18"/>
      <c r="H500" s="18"/>
      <c r="I500" s="18"/>
      <c r="J500" s="18"/>
      <c r="K500" s="53">
        <f t="shared" si="36"/>
        <v>4146.25</v>
      </c>
      <c r="L500" s="24" t="s">
        <v>288</v>
      </c>
      <c r="N500" s="265"/>
    </row>
    <row r="501" spans="1:14" s="52" customFormat="1" ht="12.2" customHeight="1" thickTop="1" x14ac:dyDescent="0.2">
      <c r="A501" s="139" t="s">
        <v>624</v>
      </c>
      <c r="B501" s="44">
        <v>20</v>
      </c>
      <c r="C501" s="195">
        <v>11</v>
      </c>
      <c r="D501" s="39" t="s">
        <v>432</v>
      </c>
      <c r="E501" s="195"/>
      <c r="F501" s="42">
        <f>SUM(F499:F500)</f>
        <v>159146.25</v>
      </c>
      <c r="G501" s="42">
        <f>SUM(G499:G500)</f>
        <v>0</v>
      </c>
      <c r="H501" s="42">
        <f>SUM(H499:H500)</f>
        <v>0</v>
      </c>
      <c r="I501" s="42">
        <f>SUM(I499:I500)</f>
        <v>0</v>
      </c>
      <c r="J501" s="42">
        <f>SUM(J499:J500)</f>
        <v>0</v>
      </c>
      <c r="K501" s="42">
        <f t="shared" si="36"/>
        <v>159146.25</v>
      </c>
      <c r="L501" s="45" t="s">
        <v>288</v>
      </c>
      <c r="N501" s="265"/>
    </row>
    <row r="502" spans="1:14" s="52" customFormat="1" ht="12.2" customHeight="1" x14ac:dyDescent="0.2">
      <c r="A502" s="200" t="s">
        <v>651</v>
      </c>
      <c r="B502" s="201">
        <v>20</v>
      </c>
      <c r="C502" s="202">
        <v>12</v>
      </c>
      <c r="D502" s="203" t="s">
        <v>432</v>
      </c>
      <c r="E502" s="202"/>
      <c r="F502" s="204">
        <v>155000</v>
      </c>
      <c r="G502" s="204"/>
      <c r="H502" s="204"/>
      <c r="I502" s="204"/>
      <c r="J502" s="204"/>
      <c r="K502" s="205">
        <f t="shared" si="36"/>
        <v>155000</v>
      </c>
      <c r="L502" s="206" t="s">
        <v>288</v>
      </c>
      <c r="N502" s="265"/>
    </row>
    <row r="503" spans="1:14" s="52" customFormat="1" ht="12.2" customHeight="1" thickBot="1" x14ac:dyDescent="0.25">
      <c r="A503" s="22" t="s">
        <v>625</v>
      </c>
      <c r="B503" s="75">
        <v>20</v>
      </c>
      <c r="C503" s="115">
        <v>13</v>
      </c>
      <c r="D503" s="2" t="s">
        <v>432</v>
      </c>
      <c r="E503" s="115"/>
      <c r="F503" s="18">
        <v>4146.25</v>
      </c>
      <c r="G503" s="18"/>
      <c r="H503" s="18"/>
      <c r="I503" s="18"/>
      <c r="J503" s="18"/>
      <c r="K503" s="53">
        <f t="shared" si="36"/>
        <v>4146.25</v>
      </c>
      <c r="L503" s="24" t="s">
        <v>288</v>
      </c>
      <c r="N503" s="265"/>
    </row>
    <row r="504" spans="1:14" s="52" customFormat="1" ht="12.2" customHeight="1" thickTop="1" x14ac:dyDescent="0.2">
      <c r="A504" s="139" t="s">
        <v>626</v>
      </c>
      <c r="B504" s="44">
        <v>20</v>
      </c>
      <c r="C504" s="195">
        <v>14</v>
      </c>
      <c r="D504" s="39" t="s">
        <v>432</v>
      </c>
      <c r="E504" s="195"/>
      <c r="F504" s="42">
        <f>SUM(F502:F503)</f>
        <v>159146.25</v>
      </c>
      <c r="G504" s="42">
        <f>SUM(G502:G503)</f>
        <v>0</v>
      </c>
      <c r="H504" s="42">
        <f>SUM(H502:H503)</f>
        <v>0</v>
      </c>
      <c r="I504" s="42">
        <f>SUM(I502:I503)</f>
        <v>0</v>
      </c>
      <c r="J504" s="42">
        <f>SUM(J502:J503)</f>
        <v>0</v>
      </c>
      <c r="K504" s="42">
        <f t="shared" si="36"/>
        <v>159146.25</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v>1422683.95</v>
      </c>
      <c r="G524" s="18">
        <v>685267.51</v>
      </c>
      <c r="H524" s="18">
        <v>408578.83</v>
      </c>
      <c r="I524" s="18">
        <v>10984.65</v>
      </c>
      <c r="J524" s="18">
        <v>9850.26</v>
      </c>
      <c r="K524" s="18">
        <v>0</v>
      </c>
      <c r="L524" s="88">
        <f>SUM(F524:K524)</f>
        <v>2537365.1999999997</v>
      </c>
      <c r="N524" s="265"/>
    </row>
    <row r="525" spans="1:14" s="52" customFormat="1" ht="12.2" customHeight="1" thickTop="1" x14ac:dyDescent="0.2">
      <c r="A525" s="139" t="s">
        <v>63</v>
      </c>
      <c r="B525" s="107">
        <v>21</v>
      </c>
      <c r="C525" s="195">
        <v>4</v>
      </c>
      <c r="D525" s="196" t="s">
        <v>432</v>
      </c>
      <c r="E525" s="195"/>
      <c r="F525" s="108">
        <f>SUM(F522:F524)</f>
        <v>1422683.95</v>
      </c>
      <c r="G525" s="108">
        <f t="shared" ref="G525:L525" si="37">SUM(G522:G524)</f>
        <v>685267.51</v>
      </c>
      <c r="H525" s="108">
        <f t="shared" si="37"/>
        <v>408578.83</v>
      </c>
      <c r="I525" s="108">
        <f t="shared" si="37"/>
        <v>10984.65</v>
      </c>
      <c r="J525" s="108">
        <f t="shared" si="37"/>
        <v>9850.26</v>
      </c>
      <c r="K525" s="108">
        <f t="shared" si="37"/>
        <v>0</v>
      </c>
      <c r="L525" s="89">
        <f t="shared" si="37"/>
        <v>2537365.1999999997</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f>306659.08-1500</f>
        <v>305159.08</v>
      </c>
      <c r="G529" s="18">
        <f>158444.67-381.76</f>
        <v>158062.91</v>
      </c>
      <c r="H529" s="18">
        <v>175147.23</v>
      </c>
      <c r="I529" s="18">
        <v>0</v>
      </c>
      <c r="J529" s="18">
        <v>0</v>
      </c>
      <c r="K529" s="18">
        <v>0</v>
      </c>
      <c r="L529" s="88">
        <f>SUM(F529:K529)</f>
        <v>638369.22</v>
      </c>
      <c r="M529" s="8"/>
      <c r="N529" s="266"/>
    </row>
    <row r="530" spans="1:14" s="3" customFormat="1" ht="12.2" customHeight="1" thickTop="1" x14ac:dyDescent="0.15">
      <c r="A530" s="139" t="s">
        <v>65</v>
      </c>
      <c r="B530" s="107">
        <v>21</v>
      </c>
      <c r="C530" s="107">
        <v>8</v>
      </c>
      <c r="D530" s="158" t="s">
        <v>432</v>
      </c>
      <c r="E530" s="107"/>
      <c r="F530" s="89">
        <f>SUM(F527:F529)</f>
        <v>305159.08</v>
      </c>
      <c r="G530" s="89">
        <f t="shared" ref="G530:L530" si="38">SUM(G527:G529)</f>
        <v>158062.91</v>
      </c>
      <c r="H530" s="89">
        <f t="shared" si="38"/>
        <v>175147.23</v>
      </c>
      <c r="I530" s="89">
        <f t="shared" si="38"/>
        <v>0</v>
      </c>
      <c r="J530" s="89">
        <f t="shared" si="38"/>
        <v>0</v>
      </c>
      <c r="K530" s="89">
        <f t="shared" si="38"/>
        <v>0</v>
      </c>
      <c r="L530" s="89">
        <f t="shared" si="38"/>
        <v>638369.22</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v>128447.93</v>
      </c>
      <c r="G534" s="18">
        <v>63470.07</v>
      </c>
      <c r="H534" s="18">
        <v>28434.73</v>
      </c>
      <c r="I534" s="18">
        <v>476.14</v>
      </c>
      <c r="J534" s="18"/>
      <c r="K534" s="18"/>
      <c r="L534" s="88">
        <f>SUM(F534:K534)</f>
        <v>220828.87000000002</v>
      </c>
      <c r="M534" s="8"/>
      <c r="N534" s="266"/>
    </row>
    <row r="535" spans="1:14" s="3" customFormat="1" ht="12.2" customHeight="1" thickTop="1" x14ac:dyDescent="0.15">
      <c r="A535" s="139" t="s">
        <v>67</v>
      </c>
      <c r="B535" s="107">
        <v>21</v>
      </c>
      <c r="C535" s="107">
        <v>12</v>
      </c>
      <c r="D535" s="158" t="s">
        <v>432</v>
      </c>
      <c r="E535" s="107"/>
      <c r="F535" s="89">
        <f>SUM(F532:F534)</f>
        <v>128447.93</v>
      </c>
      <c r="G535" s="89">
        <f t="shared" ref="G535:L535" si="39">SUM(G532:G534)</f>
        <v>63470.07</v>
      </c>
      <c r="H535" s="89">
        <f t="shared" si="39"/>
        <v>28434.73</v>
      </c>
      <c r="I535" s="89">
        <f t="shared" si="39"/>
        <v>476.14</v>
      </c>
      <c r="J535" s="89">
        <f t="shared" si="39"/>
        <v>0</v>
      </c>
      <c r="K535" s="89">
        <f t="shared" si="39"/>
        <v>0</v>
      </c>
      <c r="L535" s="89">
        <f t="shared" si="39"/>
        <v>220828.87000000002</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v>13119.67</v>
      </c>
      <c r="I539" s="18"/>
      <c r="J539" s="18"/>
      <c r="K539" s="18"/>
      <c r="L539" s="88">
        <f>SUM(F539:K539)</f>
        <v>13119.67</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13119.67</v>
      </c>
      <c r="I540" s="89">
        <f t="shared" si="40"/>
        <v>0</v>
      </c>
      <c r="J540" s="89">
        <f t="shared" si="40"/>
        <v>0</v>
      </c>
      <c r="K540" s="89">
        <f t="shared" si="40"/>
        <v>0</v>
      </c>
      <c r="L540" s="89">
        <f t="shared" si="40"/>
        <v>13119.67</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106310.41</v>
      </c>
      <c r="I544" s="18"/>
      <c r="J544" s="18"/>
      <c r="K544" s="18"/>
      <c r="L544" s="88">
        <f>SUM(F544:K544)</f>
        <v>106310.41</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1">SUM(G542:G544)</f>
        <v>0</v>
      </c>
      <c r="H545" s="193">
        <f t="shared" si="41"/>
        <v>106310.41</v>
      </c>
      <c r="I545" s="193">
        <f t="shared" si="41"/>
        <v>0</v>
      </c>
      <c r="J545" s="193">
        <f t="shared" si="41"/>
        <v>0</v>
      </c>
      <c r="K545" s="193">
        <f t="shared" si="41"/>
        <v>0</v>
      </c>
      <c r="L545" s="193">
        <f t="shared" si="41"/>
        <v>106310.41</v>
      </c>
      <c r="M545" s="8"/>
      <c r="N545" s="266"/>
    </row>
    <row r="546" spans="1:14" s="3" customFormat="1" ht="12.2" customHeight="1" thickTop="1" x14ac:dyDescent="0.15">
      <c r="A546" s="98" t="s">
        <v>72</v>
      </c>
      <c r="B546" s="107">
        <v>21</v>
      </c>
      <c r="C546" s="107">
        <v>21</v>
      </c>
      <c r="D546" s="158" t="s">
        <v>432</v>
      </c>
      <c r="E546" s="107"/>
      <c r="F546" s="89">
        <f>F525+F530+F535+F540+F545</f>
        <v>1856290.96</v>
      </c>
      <c r="G546" s="89">
        <f t="shared" ref="G546:L546" si="42">G525+G530+G535+G540+G545</f>
        <v>906800.49</v>
      </c>
      <c r="H546" s="89">
        <f t="shared" si="42"/>
        <v>731590.87000000011</v>
      </c>
      <c r="I546" s="89">
        <f t="shared" si="42"/>
        <v>11460.789999999999</v>
      </c>
      <c r="J546" s="89">
        <f t="shared" si="42"/>
        <v>9850.26</v>
      </c>
      <c r="K546" s="89">
        <f t="shared" si="42"/>
        <v>0</v>
      </c>
      <c r="L546" s="89">
        <f t="shared" si="42"/>
        <v>3515993.37</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2537365.1999999997</v>
      </c>
      <c r="G552" s="87">
        <f>L529</f>
        <v>638369.22</v>
      </c>
      <c r="H552" s="87">
        <f>L534</f>
        <v>220828.87000000002</v>
      </c>
      <c r="I552" s="87">
        <f>L539</f>
        <v>13119.67</v>
      </c>
      <c r="J552" s="87">
        <f>L544</f>
        <v>106310.41</v>
      </c>
      <c r="K552" s="87">
        <f>SUM(F552:J552)</f>
        <v>3515993.37</v>
      </c>
      <c r="L552" s="24" t="s">
        <v>288</v>
      </c>
      <c r="M552" s="8"/>
      <c r="N552" s="266"/>
    </row>
    <row r="553" spans="1:14" s="3" customFormat="1" ht="12.2" customHeight="1" thickTop="1" x14ac:dyDescent="0.15">
      <c r="A553" s="172" t="s">
        <v>340</v>
      </c>
      <c r="B553" s="44">
        <v>21</v>
      </c>
      <c r="C553" s="44">
        <v>25</v>
      </c>
      <c r="D553" s="39" t="s">
        <v>432</v>
      </c>
      <c r="E553" s="44"/>
      <c r="F553" s="89">
        <f t="shared" ref="F553:K553" si="43">SUM(F550:F552)</f>
        <v>2537365.1999999997</v>
      </c>
      <c r="G553" s="89">
        <f t="shared" si="43"/>
        <v>638369.22</v>
      </c>
      <c r="H553" s="89">
        <f t="shared" si="43"/>
        <v>220828.87000000002</v>
      </c>
      <c r="I553" s="89">
        <f t="shared" si="43"/>
        <v>13119.67</v>
      </c>
      <c r="J553" s="89">
        <f t="shared" si="43"/>
        <v>106310.41</v>
      </c>
      <c r="K553" s="89">
        <f t="shared" si="43"/>
        <v>3515993.37</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v>8776.5</v>
      </c>
      <c r="I565" s="18">
        <v>122.81</v>
      </c>
      <c r="J565" s="18"/>
      <c r="K565" s="18"/>
      <c r="L565" s="88">
        <f>SUM(F565:K565)</f>
        <v>8899.31</v>
      </c>
      <c r="M565" s="8"/>
      <c r="N565" s="266"/>
    </row>
    <row r="566" spans="1:14" s="3" customFormat="1" ht="12.2" customHeight="1" thickTop="1" x14ac:dyDescent="0.15">
      <c r="A566" s="139" t="s">
        <v>65</v>
      </c>
      <c r="B566" s="107">
        <v>22</v>
      </c>
      <c r="C566" s="107">
        <v>8</v>
      </c>
      <c r="D566" s="196" t="s">
        <v>432</v>
      </c>
      <c r="E566" s="107"/>
      <c r="F566" s="89">
        <f t="shared" ref="F566:L566" si="45">SUM(F563:F565)</f>
        <v>0</v>
      </c>
      <c r="G566" s="89">
        <f t="shared" si="45"/>
        <v>0</v>
      </c>
      <c r="H566" s="89">
        <f t="shared" si="45"/>
        <v>8776.5</v>
      </c>
      <c r="I566" s="89">
        <f t="shared" si="45"/>
        <v>122.81</v>
      </c>
      <c r="J566" s="89">
        <f t="shared" si="45"/>
        <v>0</v>
      </c>
      <c r="K566" s="89">
        <f t="shared" si="45"/>
        <v>0</v>
      </c>
      <c r="L566" s="89">
        <f t="shared" si="45"/>
        <v>8899.31</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6">SUM(G568:G570)</f>
        <v>0</v>
      </c>
      <c r="H571" s="193">
        <f t="shared" si="46"/>
        <v>0</v>
      </c>
      <c r="I571" s="193">
        <f t="shared" si="46"/>
        <v>0</v>
      </c>
      <c r="J571" s="193">
        <f t="shared" si="46"/>
        <v>0</v>
      </c>
      <c r="K571" s="193">
        <f t="shared" si="46"/>
        <v>0</v>
      </c>
      <c r="L571" s="193">
        <f t="shared" si="46"/>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7">G561+G566+G571</f>
        <v>0</v>
      </c>
      <c r="H572" s="89">
        <f t="shared" si="47"/>
        <v>8776.5</v>
      </c>
      <c r="I572" s="89">
        <f t="shared" si="47"/>
        <v>122.81</v>
      </c>
      <c r="J572" s="89">
        <f t="shared" si="47"/>
        <v>0</v>
      </c>
      <c r="K572" s="89">
        <f t="shared" si="47"/>
        <v>0</v>
      </c>
      <c r="L572" s="89">
        <f t="shared" si="47"/>
        <v>8899.31</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8"/>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8"/>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8"/>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v>307061.78000000003</v>
      </c>
      <c r="I583" s="87">
        <f t="shared" si="48"/>
        <v>307061.78000000003</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v>100726.25</v>
      </c>
      <c r="I584" s="87">
        <f t="shared" si="48"/>
        <v>100726.25</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16377.48</v>
      </c>
      <c r="I585" s="87">
        <f t="shared" si="48"/>
        <v>16377.48</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8"/>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c r="I592" s="18"/>
      <c r="J592" s="18">
        <v>237591.3</v>
      </c>
      <c r="K592" s="104">
        <f t="shared" ref="K592:K598" si="49">SUM(H592:J592)</f>
        <v>237591.3</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f>105434.62+754.97+120.82</f>
        <v>106310.41</v>
      </c>
      <c r="K593" s="104">
        <f t="shared" si="49"/>
        <v>106310.41</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35460</v>
      </c>
      <c r="K594" s="104">
        <f t="shared" si="49"/>
        <v>35460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v>64113.96</v>
      </c>
      <c r="K595" s="104">
        <f t="shared" si="49"/>
        <v>64113.96</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v>17719.43</v>
      </c>
      <c r="K596" s="104">
        <f t="shared" si="49"/>
        <v>17719.43</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v>0</v>
      </c>
      <c r="K597" s="104">
        <f t="shared" si="49"/>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v>0</v>
      </c>
      <c r="K598" s="104">
        <f t="shared" si="49"/>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0</v>
      </c>
      <c r="I599" s="108">
        <f>SUM(I592:I598)</f>
        <v>0</v>
      </c>
      <c r="J599" s="108">
        <f>SUM(J592:J598)</f>
        <v>461195.1</v>
      </c>
      <c r="K599" s="108">
        <f>SUM(K592:K598)</f>
        <v>461195.1</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f>204631.89+12915</f>
        <v>217546.89</v>
      </c>
      <c r="K605" s="104">
        <f>SUM(H605:J605)</f>
        <v>217546.89</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217546.89</v>
      </c>
      <c r="K606" s="108">
        <f>SUM(K603:K605)</f>
        <v>217546.89</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f>13412.5+4705.2+8900</f>
        <v>27017.7</v>
      </c>
      <c r="G614" s="18">
        <f>3293.02+197.33+350.4+1584.2+649.05</f>
        <v>6074</v>
      </c>
      <c r="H614" s="18"/>
      <c r="I614" s="18">
        <f>600+1000</f>
        <v>1600</v>
      </c>
      <c r="J614" s="18">
        <v>926.58</v>
      </c>
      <c r="K614" s="18"/>
      <c r="L614" s="88">
        <f>SUM(F614:K614)</f>
        <v>35618.28</v>
      </c>
      <c r="M614" s="8"/>
      <c r="N614" s="266"/>
    </row>
    <row r="615" spans="1:14" s="3" customFormat="1" ht="12.2" customHeight="1" thickTop="1" x14ac:dyDescent="0.15">
      <c r="A615" s="98" t="s">
        <v>340</v>
      </c>
      <c r="B615" s="107">
        <v>23</v>
      </c>
      <c r="C615" s="107">
        <v>16</v>
      </c>
      <c r="D615" s="39" t="s">
        <v>432</v>
      </c>
      <c r="E615" s="107"/>
      <c r="F615" s="108">
        <f t="shared" ref="F615:L615" si="50">SUM(F612:F614)</f>
        <v>27017.7</v>
      </c>
      <c r="G615" s="108">
        <f t="shared" si="50"/>
        <v>6074</v>
      </c>
      <c r="H615" s="108">
        <f t="shared" si="50"/>
        <v>0</v>
      </c>
      <c r="I615" s="108">
        <f t="shared" si="50"/>
        <v>1600</v>
      </c>
      <c r="J615" s="108">
        <f t="shared" si="50"/>
        <v>926.58</v>
      </c>
      <c r="K615" s="108">
        <f t="shared" si="50"/>
        <v>0</v>
      </c>
      <c r="L615" s="89">
        <f t="shared" si="50"/>
        <v>35618.28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1167840.52</v>
      </c>
      <c r="H618" s="109">
        <f>SUM(F52)</f>
        <v>1167840.5199999986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64567.45</v>
      </c>
      <c r="H619" s="109">
        <f>SUM(G52)</f>
        <v>64567.450000000004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65331.26</v>
      </c>
      <c r="H620" s="109">
        <f>SUM(H52)</f>
        <v>65331.26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820.28</v>
      </c>
      <c r="H621" s="109">
        <f>SUM(I52)</f>
        <v>820.28</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937038.49</v>
      </c>
      <c r="H622" s="109">
        <f>SUM(J52)</f>
        <v>937038.49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670400.29999999877</v>
      </c>
      <c r="H623" s="109">
        <f>F477</f>
        <v>670400.30000000075</v>
      </c>
      <c r="I623" s="121" t="s">
        <v>101</v>
      </c>
      <c r="J623" s="109">
        <f t="shared" ref="J623:J656" si="51">G623-H623</f>
        <v>-1.9790604710578918E-9</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37951.300000000003</v>
      </c>
      <c r="H625" s="109">
        <f>H477</f>
        <v>37951.29999999993</v>
      </c>
      <c r="I625" s="121" t="s">
        <v>103</v>
      </c>
      <c r="J625" s="109">
        <f t="shared" si="51"/>
        <v>7.2759576141834259E-11</v>
      </c>
      <c r="K625" s="109"/>
      <c r="L625" s="109"/>
      <c r="M625" s="8"/>
    </row>
    <row r="626" spans="1:13" s="3" customFormat="1" ht="12.2" customHeight="1" x14ac:dyDescent="0.15">
      <c r="A626" s="97"/>
      <c r="B626" s="105"/>
      <c r="C626" s="105"/>
      <c r="D626" s="105"/>
      <c r="E626" s="105"/>
      <c r="F626" s="120" t="s">
        <v>868</v>
      </c>
      <c r="G626" s="109">
        <f>I51</f>
        <v>820.28</v>
      </c>
      <c r="H626" s="109">
        <f>I477</f>
        <v>820.28</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659175.01</v>
      </c>
      <c r="H627" s="109">
        <f>J477</f>
        <v>659175.01</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16294575.18</v>
      </c>
      <c r="H628" s="104">
        <f>SUM(F469)</f>
        <v>16294575.18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428349.41000000003</v>
      </c>
      <c r="H629" s="104">
        <f>SUM(G469)</f>
        <v>428349.41000000003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290789.74</v>
      </c>
      <c r="H630" s="104">
        <f>SUM(H469)</f>
        <v>290789.74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20.11</v>
      </c>
      <c r="H631" s="104">
        <f>SUM(I469)</f>
        <v>20.11</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363.06</v>
      </c>
      <c r="H632" s="104">
        <f>SUM(J469)</f>
        <v>363.06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16907476.969999999</v>
      </c>
      <c r="H633" s="104">
        <f>SUM(F473)</f>
        <v>16907476.969999999</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290775.91000000003</v>
      </c>
      <c r="H634" s="104">
        <f>SUM(H473)</f>
        <v>290775.91000000003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121443.28</v>
      </c>
      <c r="H635" s="104">
        <f>I370</f>
        <v>121443.28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428349.41000000009</v>
      </c>
      <c r="H636" s="104">
        <f>SUM(G473)</f>
        <v>428349.41000000009</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363.05999999999972</v>
      </c>
      <c r="H638" s="164">
        <f>SUM(J469)</f>
        <v>363.06</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1692.77</v>
      </c>
      <c r="H639" s="164">
        <f>SUM(J473)</f>
        <v>1692.77</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659728.46</v>
      </c>
      <c r="H641" s="104">
        <f>SUM(G462)</f>
        <v>659728.46</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277310.03000000003</v>
      </c>
      <c r="H642" s="104">
        <f>SUM(H462)</f>
        <v>277310.03000000003</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937038.49</v>
      </c>
      <c r="H643" s="104">
        <f>SUM(I462)</f>
        <v>937038.49</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363.06</v>
      </c>
      <c r="H645" s="104">
        <f>H409</f>
        <v>363.05999999999972</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363.06</v>
      </c>
      <c r="H647" s="104">
        <f>L409</f>
        <v>363.05999999999972</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461195.1</v>
      </c>
      <c r="H648" s="104">
        <f>L209+L227+L245</f>
        <v>461195.10000000003</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217546.89</v>
      </c>
      <c r="H649" s="104">
        <f>(J258+J339)-(J256+J337)</f>
        <v>217546.89</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0</v>
      </c>
      <c r="H650" s="104">
        <f>H599</f>
        <v>0</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461195.10000000003</v>
      </c>
      <c r="H652" s="104">
        <f>J599</f>
        <v>461195.1</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f>
        <v>105353.89</v>
      </c>
      <c r="H653" s="104">
        <f>K264+K346</f>
        <v>105353.89</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0</v>
      </c>
      <c r="G661" s="19">
        <f>(L230+L310+L360)</f>
        <v>0</v>
      </c>
      <c r="H661" s="19">
        <f>(L248+L329+L361)</f>
        <v>17354003.399999999</v>
      </c>
      <c r="I661" s="19">
        <f>SUM(F661:H661)</f>
        <v>17354003.399999999</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260800.11000000002</v>
      </c>
      <c r="I662" s="19">
        <f>SUM(F662:H662)</f>
        <v>260800.11000000002</v>
      </c>
      <c r="J662"/>
      <c r="K662" s="13"/>
      <c r="L662" s="13"/>
      <c r="M662" s="8"/>
    </row>
    <row r="663" spans="1:13" s="3" customFormat="1" ht="12.2" customHeight="1" x14ac:dyDescent="0.2">
      <c r="A663" s="1" t="s">
        <v>128</v>
      </c>
      <c r="F663" s="19">
        <f>(L209+L288)-(J209+J288)</f>
        <v>0</v>
      </c>
      <c r="G663" s="19">
        <f>(L227+L307)-(J227+J307)</f>
        <v>0</v>
      </c>
      <c r="H663" s="19">
        <f>(L245+L326)-(J245+J326)</f>
        <v>461195.10000000003</v>
      </c>
      <c r="I663" s="19">
        <f>SUM(F663:H663)</f>
        <v>461195.10000000003</v>
      </c>
      <c r="J663"/>
      <c r="K663" s="13"/>
      <c r="L663" s="13"/>
      <c r="M663" s="9"/>
    </row>
    <row r="664" spans="1:13" s="3" customFormat="1" ht="12.2" customHeight="1" x14ac:dyDescent="0.15">
      <c r="A664" s="198" t="s">
        <v>129</v>
      </c>
      <c r="B664" s="169"/>
      <c r="C664" s="169"/>
      <c r="D664" s="169"/>
      <c r="E664" s="169"/>
      <c r="F664" s="199">
        <f>SUM(F576:F588)+SUM(H603:H605)+SUM(L612)</f>
        <v>0</v>
      </c>
      <c r="G664" s="199">
        <f>SUM(G576:G588)+SUM(I603:I605)+L613</f>
        <v>0</v>
      </c>
      <c r="H664" s="199">
        <f>SUM(H576:H588)+SUM(J603:J605)+L614</f>
        <v>677330.68</v>
      </c>
      <c r="I664" s="19">
        <f>SUM(F664:H664)</f>
        <v>677330.68</v>
      </c>
      <c r="J664" s="13"/>
      <c r="K664" s="13"/>
      <c r="L664" s="13"/>
      <c r="M664" s="9"/>
    </row>
    <row r="665" spans="1:13" s="3" customFormat="1" ht="12.2" customHeight="1" x14ac:dyDescent="0.15">
      <c r="A665" s="1" t="s">
        <v>130</v>
      </c>
      <c r="F665" s="19">
        <f>F661-SUM(F662:F664)</f>
        <v>0</v>
      </c>
      <c r="G665" s="19">
        <f>G661-SUM(G662:G664)</f>
        <v>0</v>
      </c>
      <c r="H665" s="19">
        <f>H661-SUM(H662:H664)</f>
        <v>15954677.509999998</v>
      </c>
      <c r="I665" s="19">
        <f>I661-SUM(I662:I664)</f>
        <v>15954677.509999998</v>
      </c>
      <c r="J665" s="13"/>
      <c r="K665" s="13"/>
      <c r="L665" s="13"/>
      <c r="M665" s="8"/>
    </row>
    <row r="666" spans="1:13" s="3" customFormat="1" ht="12.2" customHeight="1" x14ac:dyDescent="0.2">
      <c r="A666" s="1" t="s">
        <v>131</v>
      </c>
      <c r="F666" s="246"/>
      <c r="G666" s="247"/>
      <c r="H666" s="247">
        <v>747.42</v>
      </c>
      <c r="I666" s="19">
        <f>SUM(F666:H666)</f>
        <v>747.42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f>ROUND(H665/H666,2)</f>
        <v>21346.33</v>
      </c>
      <c r="I668" s="19">
        <f>ROUND(I665/I666,2)</f>
        <v>21346.33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-3.5</v>
      </c>
      <c r="I671" s="19">
        <f>SUM(F671:H671)</f>
        <v>-3.5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f>ROUND((H665+H670)/(H666+H671),2)</f>
        <v>21446.77</v>
      </c>
      <c r="I673" s="19">
        <f>ROUND((I665+I670)/(I666+I671),2)</f>
        <v>21446.77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topLeftCell="A3"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SOUHEGAN COOPERATIVE SCHOOL DISTRICT</v>
      </c>
      <c r="C5" s="344"/>
      <c r="D5" s="344"/>
      <c r="E5" s="344"/>
      <c r="F5" s="344"/>
    </row>
    <row r="8" spans="1:9" ht="18" x14ac:dyDescent="0.25">
      <c r="A8" s="323" t="s">
        <v>1591</v>
      </c>
      <c r="F8" s="330" t="s">
        <v>1609</v>
      </c>
    </row>
    <row r="9" spans="1:9" ht="15" x14ac:dyDescent="0.2">
      <c r="A9" s="321" t="s">
        <v>1592</v>
      </c>
      <c r="B9" s="324">
        <f>'DOE25'!G97</f>
        <v>259803.85</v>
      </c>
      <c r="F9" s="321" t="s">
        <v>1605</v>
      </c>
    </row>
    <row r="10" spans="1:9" ht="15" x14ac:dyDescent="0.2">
      <c r="A10" s="321" t="s">
        <v>1593</v>
      </c>
      <c r="B10" s="324">
        <f>'DOE25'!G112-'DOE25'!G97</f>
        <v>996.26000000000931</v>
      </c>
      <c r="F10" s="321" t="s">
        <v>1606</v>
      </c>
    </row>
    <row r="11" spans="1:9" ht="15" x14ac:dyDescent="0.2">
      <c r="A11" s="321" t="s">
        <v>1594</v>
      </c>
      <c r="B11" s="324">
        <f>'DOE25'!G140</f>
        <v>1025.02</v>
      </c>
      <c r="F11" s="321" t="s">
        <v>1607</v>
      </c>
    </row>
    <row r="12" spans="1:9" ht="15" x14ac:dyDescent="0.2">
      <c r="A12" s="321" t="s">
        <v>1595</v>
      </c>
      <c r="B12" s="324">
        <f>'DOE25'!G170</f>
        <v>61170.39</v>
      </c>
      <c r="F12" s="321" t="s">
        <v>1608</v>
      </c>
    </row>
    <row r="13" spans="1:9" ht="15" x14ac:dyDescent="0.2">
      <c r="A13" s="321" t="s">
        <v>1596</v>
      </c>
      <c r="B13" s="324">
        <f>'DOE25'!G193-'DOE25'!G180</f>
        <v>0</v>
      </c>
      <c r="F13" s="321" t="s">
        <v>1618</v>
      </c>
    </row>
    <row r="14" spans="1:9" ht="18" x14ac:dyDescent="0.25">
      <c r="A14" s="323" t="s">
        <v>732</v>
      </c>
      <c r="B14" s="325">
        <f>SUM(B9:B13)</f>
        <v>322995.52</v>
      </c>
    </row>
    <row r="16" spans="1:9" ht="18" x14ac:dyDescent="0.25">
      <c r="A16" s="323" t="s">
        <v>786</v>
      </c>
      <c r="F16" s="330" t="s">
        <v>1610</v>
      </c>
    </row>
    <row r="17" spans="1:6" ht="15" x14ac:dyDescent="0.2">
      <c r="A17" s="321" t="s">
        <v>1597</v>
      </c>
      <c r="B17" s="324">
        <f>'DOE25'!L363-'DOE25'!L362</f>
        <v>428349.41000000009</v>
      </c>
      <c r="F17" s="321" t="s">
        <v>1611</v>
      </c>
    </row>
    <row r="18" spans="1:6" ht="15" x14ac:dyDescent="0.2">
      <c r="A18" s="321" t="s">
        <v>1598</v>
      </c>
      <c r="B18" s="338"/>
      <c r="F18" s="330" t="s">
        <v>1637</v>
      </c>
    </row>
    <row r="19" spans="1:6" ht="18" x14ac:dyDescent="0.25">
      <c r="A19" s="323" t="s">
        <v>725</v>
      </c>
      <c r="B19" s="325">
        <f>SUM(B17:B18)</f>
        <v>428349.41000000009</v>
      </c>
    </row>
    <row r="21" spans="1:6" ht="18.75" thickBot="1" x14ac:dyDescent="0.3">
      <c r="A21" s="323" t="s">
        <v>1599</v>
      </c>
    </row>
    <row r="22" spans="1:6" ht="18.75" thickTop="1" x14ac:dyDescent="0.25">
      <c r="A22" s="323" t="s">
        <v>1600</v>
      </c>
      <c r="B22" s="329">
        <f>B14-B19</f>
        <v>-105353.89000000007</v>
      </c>
      <c r="F22" s="321" t="s">
        <v>1612</v>
      </c>
    </row>
    <row r="26" spans="1:6" ht="18" x14ac:dyDescent="0.25">
      <c r="A26" s="323" t="s">
        <v>186</v>
      </c>
    </row>
    <row r="27" spans="1:6" ht="15" x14ac:dyDescent="0.2">
      <c r="A27" s="321" t="s">
        <v>1601</v>
      </c>
      <c r="B27" s="324">
        <f>'DOE25'!G180</f>
        <v>105353.89</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2404.98</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5" workbookViewId="0">
      <selection activeCell="E45" sqref="E45"/>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SOUHEGAN COOPERATIVE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4808150.09</v>
      </c>
      <c r="C9" s="229">
        <f>'DOE25'!G198+'DOE25'!G216+'DOE25'!G234+'DOE25'!G277+'DOE25'!G296+'DOE25'!G315</f>
        <v>2187290.19</v>
      </c>
    </row>
    <row r="10" spans="1:3" x14ac:dyDescent="0.2">
      <c r="A10" t="s">
        <v>775</v>
      </c>
      <c r="B10" s="240">
        <f>4601640.92+537.87</f>
        <v>4602178.79</v>
      </c>
      <c r="C10" s="240">
        <f>(B10/B9)*C9</f>
        <v>2093591.1590881869</v>
      </c>
    </row>
    <row r="11" spans="1:3" x14ac:dyDescent="0.2">
      <c r="A11" t="s">
        <v>776</v>
      </c>
      <c r="B11" s="240">
        <v>43205.26</v>
      </c>
      <c r="C11" s="240">
        <f>(B11/B9)*C9</f>
        <v>19654.636312403341</v>
      </c>
    </row>
    <row r="12" spans="1:3" x14ac:dyDescent="0.2">
      <c r="A12" t="s">
        <v>777</v>
      </c>
      <c r="B12" s="240">
        <v>162766.04</v>
      </c>
      <c r="C12" s="240">
        <f>(B12/B9)*C9</f>
        <v>74044.394599409788</v>
      </c>
    </row>
    <row r="13" spans="1:3" x14ac:dyDescent="0.2">
      <c r="A13" t="str">
        <f>IF(B9=B13,IF(C9=C13,"Check Total OK","Check Total Error"),"Check Total Error")</f>
        <v>Check Total OK</v>
      </c>
      <c r="B13" s="231">
        <f>SUM(B10:B12)</f>
        <v>4808150.09</v>
      </c>
      <c r="C13" s="231">
        <f>SUM(C10:C12)</f>
        <v>2187290.19</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1422683.95</v>
      </c>
      <c r="C18" s="229">
        <f>'DOE25'!G199+'DOE25'!G217+'DOE25'!G235+'DOE25'!G278+'DOE25'!G297+'DOE25'!G316</f>
        <v>685267.51</v>
      </c>
    </row>
    <row r="19" spans="1:3" x14ac:dyDescent="0.2">
      <c r="A19" t="s">
        <v>775</v>
      </c>
      <c r="B19" s="240">
        <f>778102.94-4339.86</f>
        <v>773763.08</v>
      </c>
      <c r="C19" s="240">
        <f>(B19/B18)*C18</f>
        <v>372700.27483021148</v>
      </c>
    </row>
    <row r="20" spans="1:3" x14ac:dyDescent="0.2">
      <c r="A20" t="s">
        <v>776</v>
      </c>
      <c r="B20" s="240">
        <v>630505.91</v>
      </c>
      <c r="C20" s="240">
        <f>(B20/B18)*C18</f>
        <v>303697.25826033542</v>
      </c>
    </row>
    <row r="21" spans="1:3" x14ac:dyDescent="0.2">
      <c r="A21" t="s">
        <v>777</v>
      </c>
      <c r="B21" s="240">
        <v>18414.96</v>
      </c>
      <c r="C21" s="240">
        <f>(B21/B18)*C18</f>
        <v>8869.9769094531493</v>
      </c>
    </row>
    <row r="22" spans="1:3" x14ac:dyDescent="0.2">
      <c r="A22" t="str">
        <f>IF(B18=B22,IF(C18=C22,"Check Total OK","Check Total Error"),"Check Total Error")</f>
        <v>Check Total OK</v>
      </c>
      <c r="B22" s="231">
        <f>SUM(B19:B21)</f>
        <v>1422683.95</v>
      </c>
      <c r="C22" s="231">
        <f>SUM(C19:C21)</f>
        <v>685267.51000000013</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350496.58</v>
      </c>
      <c r="C36" s="235">
        <f>'DOE25'!G201+'DOE25'!G219+'DOE25'!G237+'DOE25'!G280+'DOE25'!G299+'DOE25'!G318</f>
        <v>84084.86</v>
      </c>
    </row>
    <row r="37" spans="1:3" x14ac:dyDescent="0.2">
      <c r="A37" t="s">
        <v>775</v>
      </c>
      <c r="B37" s="240">
        <v>87237.46</v>
      </c>
      <c r="C37" s="240">
        <f>(B37/B36)*C36</f>
        <v>20928.448462622946</v>
      </c>
    </row>
    <row r="38" spans="1:3" x14ac:dyDescent="0.2">
      <c r="A38" t="s">
        <v>776</v>
      </c>
      <c r="B38" s="240">
        <v>12600.95</v>
      </c>
      <c r="C38" s="240">
        <f>(B38/B36)*C36</f>
        <v>3022.9941662112656</v>
      </c>
    </row>
    <row r="39" spans="1:3" x14ac:dyDescent="0.2">
      <c r="A39" t="s">
        <v>777</v>
      </c>
      <c r="B39" s="240">
        <f>237206.62+13451.55</f>
        <v>250658.16999999998</v>
      </c>
      <c r="C39" s="240">
        <f>(B39/B36)*C36</f>
        <v>60133.417371165779</v>
      </c>
    </row>
    <row r="40" spans="1:3" x14ac:dyDescent="0.2">
      <c r="A40" t="str">
        <f>IF(B36=B40,IF(C36=C40,"Check Total OK","Check Total Error"),"Check Total Error")</f>
        <v>Check Total OK</v>
      </c>
      <c r="B40" s="231">
        <f>SUM(B37:B39)</f>
        <v>350496.57999999996</v>
      </c>
      <c r="C40" s="231">
        <f>SUM(C37:C39)</f>
        <v>84084.859999999986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Foote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SOUHEGAN COOPERATIVE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10229863.969999999</v>
      </c>
      <c r="D5" s="20">
        <f>SUM('DOE25'!L198:L201)+SUM('DOE25'!L216:L219)+SUM('DOE25'!L234:L237)-F5-G5-H5</f>
        <v>10064564.739999998</v>
      </c>
      <c r="E5" s="243"/>
      <c r="F5" s="244"/>
      <c r="G5" s="53">
        <f>SUM('DOE25'!J198:J201)+SUM('DOE25'!J216:J219)+SUM('DOE25'!J234:J237)</f>
        <v>146037.23000000001</v>
      </c>
      <c r="H5" s="53">
        <f>SUM('DOE25'!K198:K201)+SUM('DOE25'!K216:K219)+SUM('DOE25'!K234:K237)</f>
        <v>19262</v>
      </c>
      <c r="I5" s="256"/>
    </row>
    <row r="6" spans="1:9" x14ac:dyDescent="0.2">
      <c r="A6" s="32">
        <v>2100</v>
      </c>
      <c r="B6" t="s">
        <v>796</v>
      </c>
      <c r="C6" s="276">
        <f t="shared" si="0"/>
        <v>1690965.72</v>
      </c>
      <c r="D6" s="20">
        <f>'DOE25'!L203+'DOE25'!L221+'DOE25'!L239-F6-G6-H6</f>
        <v>1690045.72</v>
      </c>
      <c r="E6" s="243"/>
      <c r="F6" s="244"/>
      <c r="G6" s="53">
        <f>'DOE25'!J203+'DOE25'!J221+'DOE25'!J239</f>
        <v>0</v>
      </c>
      <c r="H6" s="53">
        <f>'DOE25'!K203+'DOE25'!K221+'DOE25'!K239</f>
        <v>920</v>
      </c>
      <c r="I6" s="256"/>
    </row>
    <row r="7" spans="1:9" x14ac:dyDescent="0.2">
      <c r="A7" s="32">
        <v>2200</v>
      </c>
      <c r="B7" t="s">
        <v>821</v>
      </c>
      <c r="C7" s="276">
        <f t="shared" si="0"/>
        <v>449688.24</v>
      </c>
      <c r="D7" s="20">
        <f>'DOE25'!L204+'DOE25'!L222+'DOE25'!L240-F7-G7-H7</f>
        <v>449366.24</v>
      </c>
      <c r="E7" s="243"/>
      <c r="F7" s="244"/>
      <c r="G7" s="53">
        <f>'DOE25'!J204+'DOE25'!J222+'DOE25'!J240</f>
        <v>0</v>
      </c>
      <c r="H7" s="53">
        <f>'DOE25'!K204+'DOE25'!K222+'DOE25'!K240</f>
        <v>322</v>
      </c>
      <c r="I7" s="256"/>
    </row>
    <row r="8" spans="1:9" x14ac:dyDescent="0.2">
      <c r="A8" s="32">
        <v>2300</v>
      </c>
      <c r="B8" t="s">
        <v>797</v>
      </c>
      <c r="C8" s="276">
        <f t="shared" si="0"/>
        <v>1134122.0900000001</v>
      </c>
      <c r="D8" s="243"/>
      <c r="E8" s="20">
        <f>'DOE25'!L205+'DOE25'!L223+'DOE25'!L241-F8-G8-H8-D9-D11</f>
        <v>1126548.8</v>
      </c>
      <c r="F8" s="244"/>
      <c r="G8" s="53">
        <f>'DOE25'!J205+'DOE25'!J223+'DOE25'!J241</f>
        <v>0</v>
      </c>
      <c r="H8" s="53">
        <f>'DOE25'!K205+'DOE25'!K223+'DOE25'!K241</f>
        <v>7573.29</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912920.39</v>
      </c>
      <c r="D12" s="20">
        <f>'DOE25'!L206+'DOE25'!L224+'DOE25'!L242-F12-G12-H12</f>
        <v>908159.39</v>
      </c>
      <c r="E12" s="243"/>
      <c r="F12" s="244"/>
      <c r="G12" s="53">
        <f>'DOE25'!J206+'DOE25'!J224+'DOE25'!J242</f>
        <v>478</v>
      </c>
      <c r="H12" s="53">
        <f>'DOE25'!K206+'DOE25'!K224+'DOE25'!K242</f>
        <v>4283</v>
      </c>
      <c r="I12" s="256"/>
    </row>
    <row r="13" spans="1:9" x14ac:dyDescent="0.2">
      <c r="A13" s="32">
        <v>2500</v>
      </c>
      <c r="B13" t="s">
        <v>798</v>
      </c>
      <c r="C13" s="276">
        <f t="shared" si="0"/>
        <v>462</v>
      </c>
      <c r="D13" s="243"/>
      <c r="E13" s="20">
        <f>'DOE25'!L207+'DOE25'!L225+'DOE25'!L243-F13-G13-H13</f>
        <v>462</v>
      </c>
      <c r="F13" s="244"/>
      <c r="G13" s="53">
        <f>'DOE25'!J207+'DOE25'!J225+'DOE25'!J243</f>
        <v>0</v>
      </c>
      <c r="H13" s="53">
        <f>'DOE25'!K207+'DOE25'!K225+'DOE25'!K243</f>
        <v>0</v>
      </c>
      <c r="I13" s="256"/>
    </row>
    <row r="14" spans="1:9" x14ac:dyDescent="0.2">
      <c r="A14" s="32">
        <v>2600</v>
      </c>
      <c r="B14" t="s">
        <v>819</v>
      </c>
      <c r="C14" s="276">
        <f t="shared" si="0"/>
        <v>1354132.96</v>
      </c>
      <c r="D14" s="20">
        <f>'DOE25'!L208+'DOE25'!L226+'DOE25'!L244-F14-G14-H14</f>
        <v>1302110.56</v>
      </c>
      <c r="E14" s="243"/>
      <c r="F14" s="244"/>
      <c r="G14" s="53">
        <f>'DOE25'!J208+'DOE25'!J226+'DOE25'!J244</f>
        <v>51974.15</v>
      </c>
      <c r="H14" s="53">
        <f>'DOE25'!K208+'DOE25'!K226+'DOE25'!K244</f>
        <v>48.25</v>
      </c>
      <c r="I14" s="256"/>
    </row>
    <row r="15" spans="1:9" x14ac:dyDescent="0.2">
      <c r="A15" s="32">
        <v>2700</v>
      </c>
      <c r="B15" t="s">
        <v>799</v>
      </c>
      <c r="C15" s="276">
        <f t="shared" si="0"/>
        <v>461195.10000000003</v>
      </c>
      <c r="D15" s="20">
        <f>'DOE25'!L209+'DOE25'!L227+'DOE25'!L245-F15-G15-H15</f>
        <v>461195.10000000003</v>
      </c>
      <c r="E15" s="243"/>
      <c r="F15" s="244"/>
      <c r="G15" s="53">
        <f>'DOE25'!J209+'DOE25'!J227+'DOE25'!J245</f>
        <v>0</v>
      </c>
      <c r="H15" s="53">
        <f>'DOE25'!K209+'DOE25'!K227+'DOE25'!K245</f>
        <v>0</v>
      </c>
      <c r="I15" s="256"/>
    </row>
    <row r="16" spans="1:9" x14ac:dyDescent="0.2">
      <c r="A16" s="32">
        <v>2800</v>
      </c>
      <c r="B16" t="s">
        <v>800</v>
      </c>
      <c r="C16" s="276">
        <f t="shared" si="0"/>
        <v>401527.61000000004</v>
      </c>
      <c r="D16" s="243"/>
      <c r="E16" s="20">
        <f>'DOE25'!L210+'DOE25'!L228+'DOE25'!L246-F16-G16-H16</f>
        <v>386006.33</v>
      </c>
      <c r="F16" s="244"/>
      <c r="G16" s="53">
        <f>'DOE25'!J210+'DOE25'!J228+'DOE25'!J246</f>
        <v>15521.28</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167245</v>
      </c>
      <c r="D25" s="243"/>
      <c r="E25" s="243"/>
      <c r="F25" s="255"/>
      <c r="G25" s="253"/>
      <c r="H25" s="253"/>
      <c r="I25" s="254">
        <f>'DOE25'!L261+'DOE25'!L262+'DOE25'!L342+'DOE25'!L343</f>
        <v>167245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314045.81000000006</v>
      </c>
      <c r="D29" s="284">
        <f>'DOE25'!L359+'DOE25'!L360+'DOE25'!L361-'DOE25'!I368-F29-G29-H29</f>
        <v>313845.61000000004</v>
      </c>
      <c r="E29" s="243"/>
      <c r="F29" s="244"/>
      <c r="G29" s="53">
        <f>'DOE25'!J359+'DOE25'!J360+'DOE25'!J361</f>
        <v>0</v>
      </c>
      <c r="H29" s="53">
        <f>'DOE25'!K359+'DOE25'!K360+'DOE25'!K361</f>
        <v>200.2</v>
      </c>
      <c r="I29" s="256"/>
    </row>
    <row r="30" spans="1:9" x14ac:dyDescent="0.2">
      <c r="A30" s="32"/>
      <c r="C30" s="277"/>
      <c r="D30" s="20"/>
      <c r="E30" s="281"/>
      <c r="F30" s="271"/>
      <c r="G30" s="53"/>
      <c r="H30" s="53"/>
      <c r="I30" s="256"/>
    </row>
    <row r="31" spans="1:9" x14ac:dyDescent="0.2">
      <c r="A31" s="32" t="s">
        <v>818</v>
      </c>
      <c r="B31" t="s">
        <v>817</v>
      </c>
      <c r="C31" s="276">
        <f>SUM(D31:I31)</f>
        <v>290775.91000000003</v>
      </c>
      <c r="D31" s="20">
        <f>'DOE25'!L291+'DOE25'!L310+'DOE25'!L329+'DOE25'!L334+'DOE25'!L335+'DOE25'!L336-F31-G31-H31</f>
        <v>287239.68000000005</v>
      </c>
      <c r="E31" s="243"/>
      <c r="F31" s="244"/>
      <c r="G31" s="53">
        <f>'DOE25'!J291+'DOE25'!J310+'DOE25'!J329+'DOE25'!J334+'DOE25'!J335+'DOE25'!J336</f>
        <v>3536.23</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15476527.039999999</v>
      </c>
      <c r="E33" s="245">
        <f t="shared" si="1"/>
        <v>1513017.1300000001</v>
      </c>
      <c r="F33" s="245">
        <f t="shared" si="1"/>
        <v>0</v>
      </c>
      <c r="G33" s="245">
        <f t="shared" si="1"/>
        <v>217546.89</v>
      </c>
      <c r="H33" s="245">
        <f t="shared" si="1"/>
        <v>32608.74</v>
      </c>
      <c r="I33" s="245">
        <f t="shared" si="1"/>
        <v>167245</v>
      </c>
    </row>
    <row r="35" spans="1:9" ht="12" thickBot="1" x14ac:dyDescent="0.25">
      <c r="B35" s="251" t="s">
        <v>831</v>
      </c>
      <c r="D35" s="252">
        <f>E33</f>
        <v>1513017.1300000001</v>
      </c>
      <c r="E35" s="248"/>
    </row>
    <row r="36" spans="1:9" ht="12" thickTop="1" x14ac:dyDescent="0.2">
      <c r="B36" t="s">
        <v>810</v>
      </c>
      <c r="D36" s="20">
        <f>D33</f>
        <v>15476527.039999999</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7" sqref="E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SOUHEGAN COOPERATIVE SCHOOL DISTRICT</v>
      </c>
      <c r="B2" s="126">
        <f>'DOE25'!B2</f>
        <v>493</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0</v>
      </c>
      <c r="G4" s="303">
        <f>'DOE25'!L212+'DOE25'!L291</f>
        <v>0</v>
      </c>
      <c r="H4" s="337">
        <f>F4-G4</f>
        <v>0</v>
      </c>
      <c r="I4" s="309" t="str">
        <f>IF(H4=0,"","Does not match DOE25 page 7 and 11 Totals!!")</f>
        <v/>
      </c>
      <c r="N4"/>
    </row>
    <row r="5" spans="1:18" x14ac:dyDescent="0.2">
      <c r="A5" s="21"/>
      <c r="B5" s="304" t="str">
        <f>IFERROR(VLOOKUP(A5,'School Tables'!$C$3:$D$365,2,FALSE),"")</f>
        <v/>
      </c>
      <c r="C5" s="297" t="str">
        <f>IFERROR(INDEX('School Tables'!$B$3:$B$365,MATCH('School Level Expenditures'!B5,'School Tables'!$D$3:$D$365,0)),"")</f>
        <v/>
      </c>
      <c r="D5" s="294"/>
      <c r="E5" s="294"/>
      <c r="F5" s="312">
        <f>D5+E5</f>
        <v>0</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16925653.990000002</v>
      </c>
      <c r="G36" s="303">
        <f>'DOE25'!L248+'DOE25'!L329</f>
        <v>16925653.989999998</v>
      </c>
      <c r="H36" s="337">
        <f>F36-G36</f>
        <v>0</v>
      </c>
      <c r="I36" s="309" t="str">
        <f>IF(H36=0,"","Does not match DOE25 page 9 and 13 Totals!!")</f>
        <v/>
      </c>
      <c r="N36"/>
    </row>
    <row r="37" spans="1:14" x14ac:dyDescent="0.2">
      <c r="A37" s="21" t="s">
        <v>1427</v>
      </c>
      <c r="B37" s="304">
        <f>IFERROR(VLOOKUP(A37,'School Tables'!$O$3:$P$118,2,FALSE),"")</f>
        <v>26860</v>
      </c>
      <c r="C37" s="297" t="str">
        <f t="array" ref="C37">IFERROR(INDEX('School Tables'!$N$3:$N$118,MATCH('School Level Expenditures'!B37,'School Tables'!$P$3:$P$118,0)),"")</f>
        <v>Souhegan Cooperative</v>
      </c>
      <c r="D37" s="294">
        <f>'DOE25'!L248-'DOE25'!F170+'DOE25'!H102</f>
        <v>16647059.060000001</v>
      </c>
      <c r="E37" s="294">
        <f>'DOE25'!L329+'DOE25'!F170-'DOE25'!H102</f>
        <v>278594.93</v>
      </c>
      <c r="F37" s="307">
        <f>D37+E37</f>
        <v>16925653.990000002</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SOUHEGAN COOPERATIVE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-510564.43</v>
      </c>
      <c r="D8" s="95">
        <f>'DOE25'!G9</f>
        <v>800</v>
      </c>
      <c r="E8" s="95">
        <f>'DOE25'!H9</f>
        <v>37951.300000000003</v>
      </c>
      <c r="F8" s="95">
        <f>'DOE25'!I9</f>
        <v>0</v>
      </c>
      <c r="G8" s="95">
        <f>'DOE25'!J9</f>
        <v>277310.03000000003</v>
      </c>
      <c r="H8" s="124"/>
      <c r="I8" s="124"/>
    </row>
    <row r="9" spans="1:9" x14ac:dyDescent="0.2">
      <c r="A9" s="1" t="s">
        <v>140</v>
      </c>
      <c r="B9" s="6">
        <v>110</v>
      </c>
      <c r="C9" s="95">
        <f>'DOE25'!F10</f>
        <v>1547975.62</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50123.45</v>
      </c>
      <c r="D11" s="95">
        <f>'DOE25'!G12</f>
        <v>0</v>
      </c>
      <c r="E11" s="95">
        <f>'DOE25'!H12</f>
        <v>0</v>
      </c>
      <c r="F11" s="95">
        <f>'DOE25'!I12</f>
        <v>820.28</v>
      </c>
      <c r="G11" s="95">
        <f>'DOE25'!J12</f>
        <v>0</v>
      </c>
      <c r="H11" s="124"/>
      <c r="I11" s="124"/>
    </row>
    <row r="12" spans="1:9" x14ac:dyDescent="0.2">
      <c r="A12" s="1" t="s">
        <v>143</v>
      </c>
      <c r="B12" s="6">
        <v>140</v>
      </c>
      <c r="C12" s="95">
        <f>'DOE25'!F13</f>
        <v>79177.42</v>
      </c>
      <c r="D12" s="95">
        <f>'DOE25'!G13</f>
        <v>63737.45</v>
      </c>
      <c r="E12" s="95">
        <f>'DOE25'!H13</f>
        <v>27379.96</v>
      </c>
      <c r="F12" s="95">
        <f>'DOE25'!I13</f>
        <v>0</v>
      </c>
      <c r="G12" s="95">
        <f>'DOE25'!J13</f>
        <v>659728.46</v>
      </c>
      <c r="H12" s="124"/>
      <c r="I12" s="124"/>
    </row>
    <row r="13" spans="1:9" x14ac:dyDescent="0.2">
      <c r="A13" s="1" t="s">
        <v>144</v>
      </c>
      <c r="B13" s="6">
        <v>150</v>
      </c>
      <c r="C13" s="95">
        <f>'DOE25'!F14</f>
        <v>1128.46</v>
      </c>
      <c r="D13" s="95">
        <f>'DOE25'!G14</f>
        <v>30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1167840.52</v>
      </c>
      <c r="D18" s="41">
        <f>SUM(D8:D17)</f>
        <v>64567.45</v>
      </c>
      <c r="E18" s="41">
        <f>SUM(E8:E17)</f>
        <v>65331.26</v>
      </c>
      <c r="F18" s="41">
        <f>SUM(F8:F17)</f>
        <v>820.28</v>
      </c>
      <c r="G18" s="41">
        <f>SUM(G8:G17)</f>
        <v>937038.49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39560.550000000003</v>
      </c>
      <c r="E21" s="95">
        <f>'DOE25'!H22</f>
        <v>10829.73</v>
      </c>
      <c r="F21" s="95">
        <f>'DOE25'!I22</f>
        <v>0</v>
      </c>
      <c r="G21" s="95">
        <f>'DOE25'!J22</f>
        <v>553.45000000000005</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276481.89</v>
      </c>
      <c r="D23" s="95">
        <f>'DOE25'!G24</f>
        <v>4450.6499999999996</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183018.05</v>
      </c>
      <c r="D27" s="95">
        <f>'DOE25'!G28</f>
        <v>1331.67</v>
      </c>
      <c r="E27" s="95">
        <f>'DOE25'!H28</f>
        <v>0</v>
      </c>
      <c r="F27" s="95">
        <f>'DOE25'!I28</f>
        <v>0</v>
      </c>
      <c r="G27" s="24" t="s">
        <v>288</v>
      </c>
      <c r="H27" s="124"/>
      <c r="I27" s="124"/>
    </row>
    <row r="28" spans="1:9" x14ac:dyDescent="0.2">
      <c r="A28" s="1" t="s">
        <v>157</v>
      </c>
      <c r="B28" s="6">
        <v>470</v>
      </c>
      <c r="C28" s="95">
        <f>'DOE25'!F29</f>
        <v>34913.31</v>
      </c>
      <c r="D28" s="95">
        <f>'DOE25'!G29</f>
        <v>0</v>
      </c>
      <c r="E28" s="95">
        <f>'DOE25'!H29</f>
        <v>0</v>
      </c>
      <c r="F28" s="95">
        <f>'DOE25'!I29</f>
        <v>0</v>
      </c>
      <c r="G28" s="24" t="s">
        <v>288</v>
      </c>
      <c r="H28" s="124"/>
      <c r="I28" s="124"/>
    </row>
    <row r="29" spans="1:9" x14ac:dyDescent="0.2">
      <c r="A29" s="1" t="s">
        <v>158</v>
      </c>
      <c r="B29" s="6">
        <v>480</v>
      </c>
      <c r="C29" s="95">
        <f>'DOE25'!F30</f>
        <v>3026.97</v>
      </c>
      <c r="D29" s="95">
        <f>'DOE25'!G30</f>
        <v>19224.580000000002</v>
      </c>
      <c r="E29" s="95">
        <f>'DOE25'!H30</f>
        <v>16550.23</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277310.03000000003</v>
      </c>
      <c r="H30" s="124"/>
      <c r="I30" s="124"/>
    </row>
    <row r="31" spans="1:9" ht="12" thickTop="1" x14ac:dyDescent="0.2">
      <c r="A31" s="38" t="s">
        <v>160</v>
      </c>
      <c r="B31" s="2"/>
      <c r="C31" s="41">
        <f>SUM(C21:C30)</f>
        <v>497440.22</v>
      </c>
      <c r="D31" s="41">
        <f>SUM(D21:D30)</f>
        <v>64567.450000000004</v>
      </c>
      <c r="E31" s="41">
        <f>SUM(E21:E30)</f>
        <v>27379.96</v>
      </c>
      <c r="F31" s="41">
        <f>SUM(F21:F30)</f>
        <v>0</v>
      </c>
      <c r="G31" s="41">
        <f>SUM(G21:G30)</f>
        <v>277863.48000000004</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417329.46999999881</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37951.300000000003</v>
      </c>
      <c r="F47" s="95">
        <f>'DOE25'!I48</f>
        <v>820.28</v>
      </c>
      <c r="G47" s="95">
        <f>'DOE25'!J48</f>
        <v>659175.01</v>
      </c>
      <c r="H47" s="124"/>
      <c r="I47" s="124"/>
    </row>
    <row r="48" spans="1:9" x14ac:dyDescent="0.2">
      <c r="A48" s="1" t="s">
        <v>882</v>
      </c>
      <c r="B48" s="6">
        <v>753</v>
      </c>
      <c r="C48" s="95">
        <f>'DOE25'!F49</f>
        <v>253070.83</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670400.29999999877</v>
      </c>
      <c r="D50" s="41">
        <f>SUM(D34:D49)</f>
        <v>0</v>
      </c>
      <c r="E50" s="41">
        <f>SUM(E34:E49)</f>
        <v>37951.300000000003</v>
      </c>
      <c r="F50" s="41">
        <f>SUM(F34:F49)</f>
        <v>820.28</v>
      </c>
      <c r="G50" s="41">
        <f>SUM(G34:G49)</f>
        <v>659175.01</v>
      </c>
      <c r="H50" s="124"/>
      <c r="I50" s="124"/>
    </row>
    <row r="51" spans="1:9" ht="12" thickTop="1" x14ac:dyDescent="0.2">
      <c r="A51" s="38" t="s">
        <v>885</v>
      </c>
      <c r="B51" s="2"/>
      <c r="C51" s="41">
        <f>C50+C31</f>
        <v>1167840.5199999986</v>
      </c>
      <c r="D51" s="41">
        <f>D50+D31</f>
        <v>64567.450000000004</v>
      </c>
      <c r="E51" s="41">
        <f>E50+E31</f>
        <v>65331.26</v>
      </c>
      <c r="F51" s="41">
        <f>F50+F31</f>
        <v>820.28</v>
      </c>
      <c r="G51" s="41">
        <f>G50+G31</f>
        <v>937038.49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12780409</v>
      </c>
      <c r="D56" s="95">
        <f>'DOE25'!G60</f>
        <v>0</v>
      </c>
      <c r="E56" s="95">
        <f>'DOE25'!H60</f>
        <v>0</v>
      </c>
      <c r="F56" s="95">
        <f>'DOE25'!I60</f>
        <v>0</v>
      </c>
      <c r="G56" s="95">
        <f>'DOE25'!J60</f>
        <v>0</v>
      </c>
      <c r="H56"/>
      <c r="I56"/>
    </row>
    <row r="57" spans="1:9" x14ac:dyDescent="0.2">
      <c r="A57" s="1" t="s">
        <v>164</v>
      </c>
      <c r="B57" s="6" t="s">
        <v>165</v>
      </c>
      <c r="C57" s="95">
        <f>'DOE25'!F79</f>
        <v>78778.570000000007</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16988.560000000001</v>
      </c>
      <c r="D59" s="95">
        <f>'DOE25'!G96</f>
        <v>0</v>
      </c>
      <c r="E59" s="95">
        <f>'DOE25'!H96</f>
        <v>13.83</v>
      </c>
      <c r="F59" s="95">
        <f>'DOE25'!I96</f>
        <v>20.11</v>
      </c>
      <c r="G59" s="95">
        <f>'DOE25'!J96</f>
        <v>363.06</v>
      </c>
      <c r="H59"/>
      <c r="I59"/>
    </row>
    <row r="60" spans="1:9" x14ac:dyDescent="0.2">
      <c r="A60" s="1" t="s">
        <v>170</v>
      </c>
      <c r="B60" s="118" t="s">
        <v>171</v>
      </c>
      <c r="C60" s="24" t="s">
        <v>288</v>
      </c>
      <c r="D60" s="95">
        <f>'DOE25'!G97</f>
        <v>259803.85</v>
      </c>
      <c r="E60" s="24" t="s">
        <v>288</v>
      </c>
      <c r="F60" s="24" t="s">
        <v>288</v>
      </c>
      <c r="G60" s="24" t="s">
        <v>288</v>
      </c>
      <c r="H60"/>
      <c r="I60"/>
    </row>
    <row r="61" spans="1:9" ht="12" thickBot="1" x14ac:dyDescent="0.25">
      <c r="A61" s="1" t="s">
        <v>172</v>
      </c>
      <c r="B61" s="118" t="s">
        <v>173</v>
      </c>
      <c r="C61" s="95">
        <f>SUM('DOE25'!F98:F110)</f>
        <v>88877.39</v>
      </c>
      <c r="D61" s="95">
        <f>SUM('DOE25'!G98:G110)</f>
        <v>996.26</v>
      </c>
      <c r="E61" s="95">
        <f>SUM('DOE25'!H98:H110)</f>
        <v>26679.77</v>
      </c>
      <c r="F61" s="95">
        <f>SUM('DOE25'!I98:I110)</f>
        <v>0</v>
      </c>
      <c r="G61" s="95">
        <f>SUM('DOE25'!J98:J110)</f>
        <v>0</v>
      </c>
      <c r="H61"/>
      <c r="I61"/>
    </row>
    <row r="62" spans="1:9" ht="12.75" thickTop="1" thickBot="1" x14ac:dyDescent="0.25">
      <c r="A62" s="29" t="s">
        <v>174</v>
      </c>
      <c r="B62" s="6"/>
      <c r="C62" s="130">
        <f>SUM(C57:C61)</f>
        <v>184644.52000000002</v>
      </c>
      <c r="D62" s="130">
        <f>SUM(D57:D61)</f>
        <v>260800.11000000002</v>
      </c>
      <c r="E62" s="130">
        <f>SUM(E57:E61)</f>
        <v>26693.600000000002</v>
      </c>
      <c r="F62" s="130">
        <f>SUM(F57:F61)</f>
        <v>20.11</v>
      </c>
      <c r="G62" s="130">
        <f>SUM(G57:G61)</f>
        <v>363.06</v>
      </c>
      <c r="H62"/>
      <c r="I62"/>
    </row>
    <row r="63" spans="1:9" ht="12" thickTop="1" x14ac:dyDescent="0.2">
      <c r="A63" s="29" t="s">
        <v>175</v>
      </c>
      <c r="B63" s="6"/>
      <c r="C63" s="22">
        <f>C56+C62</f>
        <v>12965053.52</v>
      </c>
      <c r="D63" s="22">
        <f>D56+D62</f>
        <v>260800.11000000002</v>
      </c>
      <c r="E63" s="22">
        <f>E56+E62</f>
        <v>26693.600000000002</v>
      </c>
      <c r="F63" s="22">
        <f>F56+F62</f>
        <v>20.11</v>
      </c>
      <c r="G63" s="22">
        <f>G56+G62</f>
        <v>363.06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1614271.4</v>
      </c>
      <c r="D66" s="24" t="s">
        <v>288</v>
      </c>
      <c r="E66" s="24" t="s">
        <v>288</v>
      </c>
      <c r="F66" s="24" t="s">
        <v>288</v>
      </c>
      <c r="G66" s="24" t="s">
        <v>288</v>
      </c>
      <c r="H66"/>
      <c r="I66"/>
    </row>
    <row r="67" spans="1:9" x14ac:dyDescent="0.2">
      <c r="A67" s="1" t="s">
        <v>770</v>
      </c>
      <c r="B67" s="6">
        <v>3112</v>
      </c>
      <c r="C67" s="95">
        <f>'DOE25'!F118</f>
        <v>1436370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3050641.4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261938.67</v>
      </c>
      <c r="D75" s="24" t="s">
        <v>288</v>
      </c>
      <c r="E75" s="24" t="s">
        <v>288</v>
      </c>
      <c r="F75" s="24" t="s">
        <v>288</v>
      </c>
      <c r="G75" s="24" t="s">
        <v>288</v>
      </c>
      <c r="H75"/>
      <c r="I75"/>
    </row>
    <row r="76" spans="1:9" x14ac:dyDescent="0.2">
      <c r="A76" s="1" t="s">
        <v>257</v>
      </c>
      <c r="B76" s="6" t="s">
        <v>179</v>
      </c>
      <c r="C76" s="95">
        <f>SUM('DOE25'!F127:F130)</f>
        <v>2442.8000000000002</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1025.02</v>
      </c>
      <c r="E77" s="95">
        <f>SUM('DOE25'!H131:H135)</f>
        <v>0</v>
      </c>
      <c r="F77" s="95">
        <f>SUM('DOE25'!I131:I135)</f>
        <v>0</v>
      </c>
      <c r="G77" s="95">
        <f>SUM('DOE25'!J131:J135)</f>
        <v>0</v>
      </c>
      <c r="H77"/>
      <c r="I77"/>
    </row>
    <row r="78" spans="1:9" ht="12.75" thickTop="1" thickBot="1" x14ac:dyDescent="0.25">
      <c r="A78" s="29" t="s">
        <v>259</v>
      </c>
      <c r="B78" s="6"/>
      <c r="C78" s="130">
        <f>SUM(C72:C77)</f>
        <v>264381.47000000003</v>
      </c>
      <c r="D78" s="130">
        <f>SUM(D72:D77)</f>
        <v>1025.02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3315022.87</v>
      </c>
      <c r="D81" s="130">
        <f>SUM(D79:D80)+D78+D70</f>
        <v>1025.02</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14498.79</v>
      </c>
      <c r="D88" s="341">
        <f>SUM('DOE25'!G153:G162)</f>
        <v>61170.39</v>
      </c>
      <c r="E88" s="341">
        <f>SUM('DOE25'!H153:H162)</f>
        <v>264096.14</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14498.79</v>
      </c>
      <c r="D91" s="131">
        <f>SUM(D85:D90)</f>
        <v>61170.39</v>
      </c>
      <c r="E91" s="131">
        <f>SUM(E85:E90)</f>
        <v>264096.14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105353.89</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105353.89</v>
      </c>
      <c r="E103" s="86">
        <f>SUM(E93:E102)</f>
        <v>0</v>
      </c>
      <c r="F103" s="86">
        <f>SUM(F93:F102)</f>
        <v>0</v>
      </c>
      <c r="G103" s="86">
        <f>SUM(G93:G102)</f>
        <v>0</v>
      </c>
    </row>
    <row r="104" spans="1:7" ht="12.75" thickTop="1" thickBot="1" x14ac:dyDescent="0.25">
      <c r="A104" s="33" t="s">
        <v>761</v>
      </c>
      <c r="C104" s="86">
        <f>C63+C81+C91+C103</f>
        <v>16294575.18</v>
      </c>
      <c r="D104" s="86">
        <f>D63+D81+D91+D103</f>
        <v>428349.41000000003</v>
      </c>
      <c r="E104" s="86">
        <f>E63+E81+E91+E103</f>
        <v>290789.74</v>
      </c>
      <c r="F104" s="86">
        <f>F63+F81+F91+F103</f>
        <v>20.11</v>
      </c>
      <c r="G104" s="86">
        <f>G63+G81+G103</f>
        <v>363.06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7204316.8599999994</v>
      </c>
      <c r="D109" s="24" t="s">
        <v>288</v>
      </c>
      <c r="E109" s="95">
        <f>('DOE25'!L277)+('DOE25'!L296)+('DOE25'!L315)</f>
        <v>1848.2199999999998</v>
      </c>
      <c r="F109" s="24" t="s">
        <v>288</v>
      </c>
      <c r="G109" s="24" t="s">
        <v>288</v>
      </c>
    </row>
    <row r="110" spans="1:7" x14ac:dyDescent="0.2">
      <c r="A110" t="s">
        <v>198</v>
      </c>
      <c r="B110" s="32" t="s">
        <v>199</v>
      </c>
      <c r="C110" s="95">
        <f>('DOE25'!L199)+('DOE25'!L217)+('DOE25'!L235)</f>
        <v>2384158.9299999997</v>
      </c>
      <c r="D110" s="24" t="s">
        <v>288</v>
      </c>
      <c r="E110" s="95">
        <f>('DOE25'!L278)+('DOE25'!L297)+('DOE25'!L316)</f>
        <v>162105.58000000002</v>
      </c>
      <c r="F110" s="24" t="s">
        <v>288</v>
      </c>
      <c r="G110" s="24" t="s">
        <v>288</v>
      </c>
    </row>
    <row r="111" spans="1:7" x14ac:dyDescent="0.2">
      <c r="A111" t="s">
        <v>200</v>
      </c>
      <c r="B111" s="32" t="s">
        <v>165</v>
      </c>
      <c r="C111" s="95">
        <f>('DOE25'!L200)+('DOE25'!L218)+('DOE25'!L236)</f>
        <v>16377.48</v>
      </c>
      <c r="D111" s="24" t="s">
        <v>288</v>
      </c>
      <c r="E111" s="95">
        <f>('DOE25'!L279)+('DOE25'!L298)+('DOE25'!L317)</f>
        <v>0</v>
      </c>
      <c r="F111" s="24" t="s">
        <v>288</v>
      </c>
      <c r="G111" s="24" t="s">
        <v>288</v>
      </c>
    </row>
    <row r="112" spans="1:7" x14ac:dyDescent="0.2">
      <c r="A112" t="s">
        <v>201</v>
      </c>
      <c r="B112" s="32" t="s">
        <v>167</v>
      </c>
      <c r="C112" s="95">
        <f>('DOE25'!L201)+('DOE25'!L219)+('DOE25'!L237)</f>
        <v>625010.69999999995</v>
      </c>
      <c r="D112" s="24" t="s">
        <v>288</v>
      </c>
      <c r="E112" s="95">
        <f>+('DOE25'!L280)+('DOE25'!L299)+('DOE25'!L318)</f>
        <v>18912.760000000002</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10229863.969999999</v>
      </c>
      <c r="D115" s="86">
        <f>SUM(D109:D114)</f>
        <v>0</v>
      </c>
      <c r="E115" s="86">
        <f>SUM(E109:E114)</f>
        <v>182866.56000000003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1690965.72</v>
      </c>
      <c r="D118" s="24" t="s">
        <v>288</v>
      </c>
      <c r="E118" s="95">
        <f>+('DOE25'!L282)+('DOE25'!L301)+('DOE25'!L320)</f>
        <v>29868.160000000003</v>
      </c>
      <c r="F118" s="24" t="s">
        <v>288</v>
      </c>
      <c r="G118" s="24" t="s">
        <v>288</v>
      </c>
    </row>
    <row r="119" spans="1:7" x14ac:dyDescent="0.2">
      <c r="A119" t="s">
        <v>208</v>
      </c>
      <c r="B119" s="32" t="s">
        <v>209</v>
      </c>
      <c r="C119" s="95">
        <f>('DOE25'!L204)+('DOE25'!L222)+('DOE25'!L240)</f>
        <v>449688.24</v>
      </c>
      <c r="D119" s="24" t="s">
        <v>288</v>
      </c>
      <c r="E119" s="95">
        <f>+('DOE25'!L283)+('DOE25'!L302)+('DOE25'!L321)</f>
        <v>66981.81</v>
      </c>
      <c r="F119" s="24" t="s">
        <v>288</v>
      </c>
      <c r="G119" s="24" t="s">
        <v>288</v>
      </c>
    </row>
    <row r="120" spans="1:7" x14ac:dyDescent="0.2">
      <c r="A120" t="s">
        <v>210</v>
      </c>
      <c r="B120" s="32" t="s">
        <v>211</v>
      </c>
      <c r="C120" s="95">
        <f>('DOE25'!L205)+('DOE25'!L223)+('DOE25'!L241)</f>
        <v>1134122.0900000001</v>
      </c>
      <c r="D120" s="24" t="s">
        <v>288</v>
      </c>
      <c r="E120" s="95">
        <f>+('DOE25'!L284)+('DOE25'!L303)+('DOE25'!L322)</f>
        <v>0</v>
      </c>
      <c r="F120" s="24" t="s">
        <v>288</v>
      </c>
      <c r="G120" s="24" t="s">
        <v>288</v>
      </c>
    </row>
    <row r="121" spans="1:7" x14ac:dyDescent="0.2">
      <c r="A121" t="s">
        <v>212</v>
      </c>
      <c r="B121" s="32" t="s">
        <v>213</v>
      </c>
      <c r="C121" s="95">
        <f>('DOE25'!L206)+('DOE25'!L224)+('DOE25'!L242)</f>
        <v>912920.39</v>
      </c>
      <c r="D121" s="24" t="s">
        <v>288</v>
      </c>
      <c r="E121" s="95">
        <f>+('DOE25'!L285)+('DOE25'!L304)+('DOE25'!L323)</f>
        <v>2305.38</v>
      </c>
      <c r="F121" s="24" t="s">
        <v>288</v>
      </c>
      <c r="G121" s="24" t="s">
        <v>288</v>
      </c>
    </row>
    <row r="122" spans="1:7" x14ac:dyDescent="0.2">
      <c r="A122" t="s">
        <v>214</v>
      </c>
      <c r="B122" s="32" t="s">
        <v>215</v>
      </c>
      <c r="C122" s="95">
        <f>('DOE25'!L207)+('DOE25'!L225)+('DOE25'!L243)</f>
        <v>462</v>
      </c>
      <c r="D122" s="24" t="s">
        <v>288</v>
      </c>
      <c r="E122" s="95">
        <f>+('DOE25'!L286)+('DOE25'!L305)+('DOE25'!L324)</f>
        <v>0</v>
      </c>
      <c r="F122" s="24" t="s">
        <v>288</v>
      </c>
      <c r="G122" s="24" t="s">
        <v>288</v>
      </c>
    </row>
    <row r="123" spans="1:7" x14ac:dyDescent="0.2">
      <c r="A123" t="s">
        <v>216</v>
      </c>
      <c r="B123" s="32" t="s">
        <v>217</v>
      </c>
      <c r="C123" s="95">
        <f>('DOE25'!L208)+('DOE25'!L226)+('DOE25'!L244)</f>
        <v>1354132.96</v>
      </c>
      <c r="D123" s="24" t="s">
        <v>288</v>
      </c>
      <c r="E123" s="95">
        <f>+('DOE25'!L287)+('DOE25'!L306)+('DOE25'!L325)</f>
        <v>0</v>
      </c>
      <c r="F123" s="24" t="s">
        <v>288</v>
      </c>
      <c r="G123" s="24" t="s">
        <v>288</v>
      </c>
    </row>
    <row r="124" spans="1:7" x14ac:dyDescent="0.2">
      <c r="A124" t="s">
        <v>218</v>
      </c>
      <c r="B124" s="32" t="s">
        <v>219</v>
      </c>
      <c r="C124" s="95">
        <f>('DOE25'!L209)+('DOE25'!L227)+('DOE25'!L245+'DOE25'!L255)</f>
        <v>461195.10000000003</v>
      </c>
      <c r="D124" s="24" t="s">
        <v>288</v>
      </c>
      <c r="E124" s="95">
        <f>+('DOE25'!L288)+('DOE25'!L307)+('DOE25'!L326)</f>
        <v>0</v>
      </c>
      <c r="F124" s="24" t="s">
        <v>288</v>
      </c>
      <c r="G124" s="24" t="s">
        <v>288</v>
      </c>
    </row>
    <row r="125" spans="1:7" x14ac:dyDescent="0.2">
      <c r="A125" t="s">
        <v>220</v>
      </c>
      <c r="B125" s="32" t="s">
        <v>221</v>
      </c>
      <c r="C125" s="95">
        <f>('DOE25'!L210)+('DOE25'!L228)+('DOE25'!L246)</f>
        <v>401527.61000000004</v>
      </c>
      <c r="D125" s="24" t="s">
        <v>288</v>
      </c>
      <c r="E125" s="95">
        <f>+('DOE25'!L289)+('DOE25'!L308)+('DOE25'!L327)</f>
        <v>8754</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428349.41000000009</v>
      </c>
      <c r="E127" s="24" t="s">
        <v>288</v>
      </c>
      <c r="F127" s="24" t="s">
        <v>288</v>
      </c>
      <c r="G127" s="24" t="s">
        <v>288</v>
      </c>
    </row>
    <row r="128" spans="1:7" ht="12.75" thickTop="1" thickBot="1" x14ac:dyDescent="0.25">
      <c r="A128" s="33" t="s">
        <v>226</v>
      </c>
      <c r="C128" s="86">
        <f>SUM(C118:C127)</f>
        <v>6405014.1100000003</v>
      </c>
      <c r="D128" s="86">
        <f>SUM(D118:D127)</f>
        <v>428349.41000000009</v>
      </c>
      <c r="E128" s="86">
        <f>SUM(E118:E127)</f>
        <v>107909.35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155000</v>
      </c>
      <c r="D131" s="24" t="s">
        <v>288</v>
      </c>
      <c r="E131" s="129">
        <f>'DOE25'!L342</f>
        <v>0</v>
      </c>
      <c r="F131" s="24" t="s">
        <v>288</v>
      </c>
      <c r="G131" s="24" t="s">
        <v>288</v>
      </c>
    </row>
    <row r="132" spans="1:7" x14ac:dyDescent="0.2">
      <c r="A132" t="s">
        <v>230</v>
      </c>
      <c r="B132" s="32">
        <v>5120</v>
      </c>
      <c r="C132" s="95">
        <f>'DOE25'!L262</f>
        <v>12245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105353.89</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363.05999999999972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-363.05999999999972</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272598.89</v>
      </c>
      <c r="D144" s="141">
        <f>SUM(D130:D143)</f>
        <v>0</v>
      </c>
      <c r="E144" s="141">
        <f>SUM(E130:E143)</f>
        <v>0</v>
      </c>
      <c r="F144" s="141">
        <f>SUM(F130:F143)</f>
        <v>0</v>
      </c>
      <c r="G144" s="141">
        <f>SUM(G130:G143)</f>
        <v>0</v>
      </c>
    </row>
    <row r="145" spans="1:9" ht="12.75" thickTop="1" thickBot="1" x14ac:dyDescent="0.25">
      <c r="A145" s="33" t="s">
        <v>244</v>
      </c>
      <c r="C145" s="86">
        <f>(C115+C128+C144)</f>
        <v>16907476.969999999</v>
      </c>
      <c r="D145" s="86">
        <f>(D115+D128+D144)</f>
        <v>428349.41000000009</v>
      </c>
      <c r="E145" s="86">
        <f>(E115+E128+E144)</f>
        <v>290775.91000000003</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7</v>
      </c>
      <c r="C151" s="153">
        <f>'DOE25'!G491</f>
        <v>0</v>
      </c>
      <c r="D151" s="153">
        <f>'DOE25'!H491</f>
        <v>0</v>
      </c>
      <c r="E151" s="153">
        <f>'DOE25'!I491</f>
        <v>0</v>
      </c>
      <c r="F151" s="153">
        <f>'DOE25'!J491</f>
        <v>0</v>
      </c>
      <c r="G151" s="24" t="s">
        <v>288</v>
      </c>
    </row>
    <row r="152" spans="1:9" x14ac:dyDescent="0.2">
      <c r="A152" s="136" t="s">
        <v>28</v>
      </c>
      <c r="B152" s="152" t="str">
        <f>'DOE25'!F492</f>
        <v>07/13</v>
      </c>
      <c r="C152" s="152">
        <f>'DOE25'!G492</f>
        <v>0</v>
      </c>
      <c r="D152" s="152">
        <f>'DOE25'!H492</f>
        <v>0</v>
      </c>
      <c r="E152" s="152">
        <f>'DOE25'!I492</f>
        <v>0</v>
      </c>
      <c r="F152" s="152">
        <f>'DOE25'!J492</f>
        <v>0</v>
      </c>
      <c r="G152" s="24" t="s">
        <v>288</v>
      </c>
    </row>
    <row r="153" spans="1:9" x14ac:dyDescent="0.2">
      <c r="A153" s="136" t="s">
        <v>29</v>
      </c>
      <c r="B153" s="152" t="str">
        <f>'DOE25'!F493</f>
        <v>08/20</v>
      </c>
      <c r="C153" s="152">
        <f>'DOE25'!G493</f>
        <v>0</v>
      </c>
      <c r="D153" s="152">
        <f>'DOE25'!H493</f>
        <v>0</v>
      </c>
      <c r="E153" s="152">
        <f>'DOE25'!I493</f>
        <v>0</v>
      </c>
      <c r="F153" s="152">
        <f>'DOE25'!J493</f>
        <v>0</v>
      </c>
      <c r="G153" s="24" t="s">
        <v>288</v>
      </c>
    </row>
    <row r="154" spans="1:9" x14ac:dyDescent="0.2">
      <c r="A154" s="136" t="s">
        <v>30</v>
      </c>
      <c r="B154" s="137">
        <f>'DOE25'!F494</f>
        <v>1090000</v>
      </c>
      <c r="C154" s="137">
        <f>'DOE25'!G494</f>
        <v>0</v>
      </c>
      <c r="D154" s="137">
        <f>'DOE25'!H494</f>
        <v>0</v>
      </c>
      <c r="E154" s="137">
        <f>'DOE25'!I494</f>
        <v>0</v>
      </c>
      <c r="F154" s="137">
        <f>'DOE25'!J494</f>
        <v>0</v>
      </c>
      <c r="G154" s="24" t="s">
        <v>288</v>
      </c>
    </row>
    <row r="155" spans="1:9" x14ac:dyDescent="0.2">
      <c r="A155" s="136" t="s">
        <v>31</v>
      </c>
      <c r="B155" s="137">
        <f>'DOE25'!F495</f>
        <v>2.14</v>
      </c>
      <c r="C155" s="137">
        <f>'DOE25'!G495</f>
        <v>0</v>
      </c>
      <c r="D155" s="137">
        <f>'DOE25'!H495</f>
        <v>0</v>
      </c>
      <c r="E155" s="137">
        <f>'DOE25'!I495</f>
        <v>0</v>
      </c>
      <c r="F155" s="137">
        <f>'DOE25'!J495</f>
        <v>0</v>
      </c>
      <c r="G155" s="24" t="s">
        <v>288</v>
      </c>
    </row>
    <row r="156" spans="1:9" x14ac:dyDescent="0.2">
      <c r="A156" s="22" t="s">
        <v>32</v>
      </c>
      <c r="B156" s="137">
        <f>'DOE25'!F496</f>
        <v>310000</v>
      </c>
      <c r="C156" s="137">
        <f>'DOE25'!G496</f>
        <v>0</v>
      </c>
      <c r="D156" s="137">
        <f>'DOE25'!H496</f>
        <v>0</v>
      </c>
      <c r="E156" s="137">
        <f>'DOE25'!I496</f>
        <v>0</v>
      </c>
      <c r="F156" s="137">
        <f>'DOE25'!J496</f>
        <v>0</v>
      </c>
      <c r="G156" s="138">
        <f>SUM(B156:F156)</f>
        <v>310000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155000</v>
      </c>
      <c r="C158" s="137">
        <f>'DOE25'!G498</f>
        <v>0</v>
      </c>
      <c r="D158" s="137">
        <f>'DOE25'!H498</f>
        <v>0</v>
      </c>
      <c r="E158" s="137">
        <f>'DOE25'!I498</f>
        <v>0</v>
      </c>
      <c r="F158" s="137">
        <f>'DOE25'!J498</f>
        <v>0</v>
      </c>
      <c r="G158" s="138">
        <f t="shared" si="0"/>
        <v>155000</v>
      </c>
    </row>
    <row r="159" spans="1:9" x14ac:dyDescent="0.2">
      <c r="A159" s="22" t="s">
        <v>35</v>
      </c>
      <c r="B159" s="137">
        <f>'DOE25'!F499</f>
        <v>155000</v>
      </c>
      <c r="C159" s="137">
        <f>'DOE25'!G499</f>
        <v>0</v>
      </c>
      <c r="D159" s="137">
        <f>'DOE25'!H499</f>
        <v>0</v>
      </c>
      <c r="E159" s="137">
        <f>'DOE25'!I499</f>
        <v>0</v>
      </c>
      <c r="F159" s="137">
        <f>'DOE25'!J499</f>
        <v>0</v>
      </c>
      <c r="G159" s="138">
        <f t="shared" si="0"/>
        <v>155000</v>
      </c>
    </row>
    <row r="160" spans="1:9" x14ac:dyDescent="0.2">
      <c r="A160" s="22" t="s">
        <v>36</v>
      </c>
      <c r="B160" s="137">
        <f>'DOE25'!F500</f>
        <v>4146.25</v>
      </c>
      <c r="C160" s="137">
        <f>'DOE25'!G500</f>
        <v>0</v>
      </c>
      <c r="D160" s="137">
        <f>'DOE25'!H500</f>
        <v>0</v>
      </c>
      <c r="E160" s="137">
        <f>'DOE25'!I500</f>
        <v>0</v>
      </c>
      <c r="F160" s="137">
        <f>'DOE25'!J500</f>
        <v>0</v>
      </c>
      <c r="G160" s="138">
        <f t="shared" si="0"/>
        <v>4146.25</v>
      </c>
    </row>
    <row r="161" spans="1:7" x14ac:dyDescent="0.2">
      <c r="A161" s="22" t="s">
        <v>37</v>
      </c>
      <c r="B161" s="137">
        <f>'DOE25'!F501</f>
        <v>159146.25</v>
      </c>
      <c r="C161" s="137">
        <f>'DOE25'!G501</f>
        <v>0</v>
      </c>
      <c r="D161" s="137">
        <f>'DOE25'!H501</f>
        <v>0</v>
      </c>
      <c r="E161" s="137">
        <f>'DOE25'!I501</f>
        <v>0</v>
      </c>
      <c r="F161" s="137">
        <f>'DOE25'!J501</f>
        <v>0</v>
      </c>
      <c r="G161" s="138">
        <f t="shared" si="0"/>
        <v>159146.25</v>
      </c>
    </row>
    <row r="162" spans="1:7" x14ac:dyDescent="0.2">
      <c r="A162" s="22" t="s">
        <v>38</v>
      </c>
      <c r="B162" s="137">
        <f>'DOE25'!F502</f>
        <v>155000</v>
      </c>
      <c r="C162" s="137">
        <f>'DOE25'!G502</f>
        <v>0</v>
      </c>
      <c r="D162" s="137">
        <f>'DOE25'!H502</f>
        <v>0</v>
      </c>
      <c r="E162" s="137">
        <f>'DOE25'!I502</f>
        <v>0</v>
      </c>
      <c r="F162" s="137">
        <f>'DOE25'!J502</f>
        <v>0</v>
      </c>
      <c r="G162" s="138">
        <f t="shared" si="0"/>
        <v>155000</v>
      </c>
    </row>
    <row r="163" spans="1:7" x14ac:dyDescent="0.2">
      <c r="A163" s="22" t="s">
        <v>39</v>
      </c>
      <c r="B163" s="137">
        <f>'DOE25'!F503</f>
        <v>4146.25</v>
      </c>
      <c r="C163" s="137">
        <f>'DOE25'!G503</f>
        <v>0</v>
      </c>
      <c r="D163" s="137">
        <f>'DOE25'!H503</f>
        <v>0</v>
      </c>
      <c r="E163" s="137">
        <f>'DOE25'!I503</f>
        <v>0</v>
      </c>
      <c r="F163" s="137">
        <f>'DOE25'!J503</f>
        <v>0</v>
      </c>
      <c r="G163" s="138">
        <f t="shared" si="0"/>
        <v>4146.25</v>
      </c>
    </row>
    <row r="164" spans="1:7" x14ac:dyDescent="0.2">
      <c r="A164" s="22" t="s">
        <v>246</v>
      </c>
      <c r="B164" s="137">
        <f>'DOE25'!F504</f>
        <v>159146.25</v>
      </c>
      <c r="C164" s="137">
        <f>'DOE25'!G504</f>
        <v>0</v>
      </c>
      <c r="D164" s="137">
        <f>'DOE25'!H504</f>
        <v>0</v>
      </c>
      <c r="E164" s="137">
        <f>'DOE25'!I504</f>
        <v>0</v>
      </c>
      <c r="F164" s="137">
        <f>'DOE25'!J504</f>
        <v>0</v>
      </c>
      <c r="G164" s="138">
        <f t="shared" si="0"/>
        <v>159146.25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&amp;A</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SOUHEGAN COOPERATIVE SCHOOL DISTRICT</v>
      </c>
    </row>
    <row r="3" spans="1:4" x14ac:dyDescent="0.2">
      <c r="B3" s="188" t="s">
        <v>1587</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21447</v>
      </c>
    </row>
    <row r="7" spans="1:4" x14ac:dyDescent="0.2">
      <c r="B7" t="s">
        <v>701</v>
      </c>
      <c r="C7" s="179">
        <f>IF('DOE25'!I666+'DOE25'!I671=0,0,ROUND('DOE25'!I673,0))</f>
        <v>21447</v>
      </c>
    </row>
    <row r="9" spans="1:4" x14ac:dyDescent="0.2">
      <c r="A9" s="187" t="s">
        <v>94</v>
      </c>
      <c r="B9" s="188" t="s">
        <v>1588</v>
      </c>
      <c r="C9" s="181" t="s">
        <v>720</v>
      </c>
      <c r="D9" s="181" t="s">
        <v>721</v>
      </c>
    </row>
    <row r="10" spans="1:4" x14ac:dyDescent="0.2">
      <c r="A10">
        <v>1100</v>
      </c>
      <c r="B10" t="s">
        <v>702</v>
      </c>
      <c r="C10" s="179">
        <f>ROUND('DOE25'!L198+'DOE25'!L216+'DOE25'!L234+'DOE25'!L277+'DOE25'!L296+'DOE25'!L315,0)</f>
        <v>7206165</v>
      </c>
      <c r="D10" s="182">
        <f>ROUND((C10/$C$28)*100,1)</f>
        <v>42.1</v>
      </c>
    </row>
    <row r="11" spans="1:4" x14ac:dyDescent="0.2">
      <c r="A11">
        <v>1200</v>
      </c>
      <c r="B11" t="s">
        <v>703</v>
      </c>
      <c r="C11" s="179">
        <f>ROUND('DOE25'!L199+'DOE25'!L217+'DOE25'!L235+'DOE25'!L278+'DOE25'!L297+'DOE25'!L316,0)</f>
        <v>2546265</v>
      </c>
      <c r="D11" s="182">
        <f>ROUND((C11/$C$28)*100,1)</f>
        <v>14.9</v>
      </c>
    </row>
    <row r="12" spans="1:4" x14ac:dyDescent="0.2">
      <c r="A12">
        <v>1300</v>
      </c>
      <c r="B12" t="s">
        <v>704</v>
      </c>
      <c r="C12" s="179">
        <f>ROUND('DOE25'!L200+'DOE25'!L218+'DOE25'!L236+'DOE25'!L279+'DOE25'!L298+'DOE25'!L317,0)</f>
        <v>16377</v>
      </c>
      <c r="D12" s="182">
        <f>ROUND((C12/$C$28)*100,1)</f>
        <v>0.1</v>
      </c>
    </row>
    <row r="13" spans="1:4" x14ac:dyDescent="0.2">
      <c r="A13">
        <v>1400</v>
      </c>
      <c r="B13" t="s">
        <v>705</v>
      </c>
      <c r="C13" s="179">
        <f>ROUND('DOE25'!L201+'DOE25'!L219+'DOE25'!L237+'DOE25'!L280+'DOE25'!L299+'DOE25'!L318,0)</f>
        <v>643923</v>
      </c>
      <c r="D13" s="182">
        <f>ROUND((C13/$C$28)*100,1)</f>
        <v>3.8</v>
      </c>
    </row>
    <row r="14" spans="1:4" x14ac:dyDescent="0.2">
      <c r="D14" s="182"/>
    </row>
    <row r="15" spans="1:4" x14ac:dyDescent="0.2">
      <c r="A15">
        <v>2100</v>
      </c>
      <c r="B15" t="s">
        <v>706</v>
      </c>
      <c r="C15" s="179">
        <f>ROUND('DOE25'!L203+'DOE25'!L221+'DOE25'!L239+'DOE25'!L282+'DOE25'!L301+'DOE25'!L320,0)</f>
        <v>1720834</v>
      </c>
      <c r="D15" s="182">
        <f t="shared" ref="D15:D27" si="0">ROUND((C15/$C$28)*100,1)</f>
        <v>10.1</v>
      </c>
    </row>
    <row r="16" spans="1:4" x14ac:dyDescent="0.2">
      <c r="A16">
        <v>2200</v>
      </c>
      <c r="B16" t="s">
        <v>707</v>
      </c>
      <c r="C16" s="179">
        <f>ROUND('DOE25'!L204+'DOE25'!L222+'DOE25'!L240+'DOE25'!L283+'DOE25'!L302+'DOE25'!L321,0)</f>
        <v>516670</v>
      </c>
      <c r="D16" s="182">
        <f t="shared" si="0"/>
        <v>3</v>
      </c>
    </row>
    <row r="17" spans="1:4" x14ac:dyDescent="0.2">
      <c r="A17" s="183" t="s">
        <v>723</v>
      </c>
      <c r="B17" t="s">
        <v>738</v>
      </c>
      <c r="C17" s="179">
        <f>ROUND('DOE25'!L205+'DOE25'!L210+'DOE25'!L223+'DOE25'!L228+'DOE25'!L241+'DOE25'!L246+'DOE25'!L284+'DOE25'!L289+'DOE25'!L303+'DOE25'!L308+'DOE25'!L322+'DOE25'!L327,0)</f>
        <v>1544404</v>
      </c>
      <c r="D17" s="182">
        <f t="shared" si="0"/>
        <v>9</v>
      </c>
    </row>
    <row r="18" spans="1:4" x14ac:dyDescent="0.2">
      <c r="A18">
        <v>2400</v>
      </c>
      <c r="B18" t="s">
        <v>711</v>
      </c>
      <c r="C18" s="179">
        <f>ROUND('DOE25'!L206+'DOE25'!L224+'DOE25'!L242+'DOE25'!L285+'DOE25'!L304+'DOE25'!L323,0)</f>
        <v>915226</v>
      </c>
      <c r="D18" s="182">
        <f t="shared" si="0"/>
        <v>5.4</v>
      </c>
    </row>
    <row r="19" spans="1:4" x14ac:dyDescent="0.2">
      <c r="A19">
        <v>2500</v>
      </c>
      <c r="B19" t="s">
        <v>708</v>
      </c>
      <c r="C19" s="179">
        <f>ROUND('DOE25'!L207+'DOE25'!L225+'DOE25'!L243+'DOE25'!L286+'DOE25'!L305+'DOE25'!L324,0)</f>
        <v>462</v>
      </c>
      <c r="D19" s="182">
        <f t="shared" si="0"/>
        <v>0</v>
      </c>
    </row>
    <row r="20" spans="1:4" x14ac:dyDescent="0.2">
      <c r="A20">
        <v>2600</v>
      </c>
      <c r="B20" t="s">
        <v>709</v>
      </c>
      <c r="C20" s="179">
        <f>ROUND('DOE25'!L208+'DOE25'!L226+'DOE25'!L244+'DOE25'!L287+'DOE25'!L306+'DOE25'!L325,0)</f>
        <v>1354133</v>
      </c>
      <c r="D20" s="182">
        <f t="shared" si="0"/>
        <v>7.9</v>
      </c>
    </row>
    <row r="21" spans="1:4" x14ac:dyDescent="0.2">
      <c r="A21">
        <v>2700</v>
      </c>
      <c r="B21" t="s">
        <v>710</v>
      </c>
      <c r="C21" s="179">
        <f>ROUND('DOE25'!L209+'DOE25'!L227+'DOE25'!L245+'DOE25'!L288+'DOE25'!L307+'DOE25'!L326,0)</f>
        <v>461195</v>
      </c>
      <c r="D21" s="182">
        <f t="shared" si="0"/>
        <v>2.7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12245</v>
      </c>
      <c r="D25" s="182">
        <f t="shared" si="0"/>
        <v>0.1</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167548.88999999998</v>
      </c>
      <c r="D27" s="182">
        <f t="shared" si="0"/>
        <v>1</v>
      </c>
    </row>
    <row r="28" spans="1:4" x14ac:dyDescent="0.2">
      <c r="B28" s="187" t="s">
        <v>719</v>
      </c>
      <c r="C28" s="180">
        <f>SUM(C10:C27)</f>
        <v>17105447.890000001</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17105447.890000001</v>
      </c>
    </row>
    <row r="31" spans="1:4" x14ac:dyDescent="0.2">
      <c r="B31" s="33"/>
      <c r="C31" s="180"/>
    </row>
    <row r="32" spans="1:4" x14ac:dyDescent="0.2">
      <c r="A32">
        <v>5100</v>
      </c>
      <c r="B32" s="33" t="s">
        <v>726</v>
      </c>
      <c r="C32" s="180">
        <f>ROUND('DOE25'!L261+'DOE25'!L342,0)</f>
        <v>155000</v>
      </c>
    </row>
    <row r="34" spans="1:4" x14ac:dyDescent="0.2">
      <c r="A34" s="187" t="s">
        <v>94</v>
      </c>
      <c r="B34" s="188" t="s">
        <v>1589</v>
      </c>
      <c r="C34" s="181" t="s">
        <v>720</v>
      </c>
      <c r="D34" s="181" t="s">
        <v>721</v>
      </c>
    </row>
    <row r="35" spans="1:4" x14ac:dyDescent="0.2">
      <c r="A35">
        <v>1100</v>
      </c>
      <c r="B35" s="185" t="s">
        <v>727</v>
      </c>
      <c r="C35" s="179">
        <f>ROUND('DOE25'!F60+'DOE25'!G60+'DOE25'!H60+'DOE25'!I60+'DOE25'!J60,0)</f>
        <v>12780409</v>
      </c>
      <c r="D35" s="182">
        <f t="shared" ref="D35:D40" si="1">ROUND((C35/$C$41)*100,1)</f>
        <v>76.8</v>
      </c>
    </row>
    <row r="36" spans="1:4" x14ac:dyDescent="0.2">
      <c r="B36" s="185" t="s">
        <v>739</v>
      </c>
      <c r="C36" s="179">
        <f>SUM('DOE25'!F112:J112)-SUM('DOE25'!G97:G110)+('DOE25'!F175+'DOE25'!F176+'DOE25'!I175+'DOE25'!I176)-C35</f>
        <v>211721.28999999911</v>
      </c>
      <c r="D36" s="182">
        <f t="shared" si="1"/>
        <v>1.3</v>
      </c>
    </row>
    <row r="37" spans="1:4" x14ac:dyDescent="0.2">
      <c r="A37" s="183" t="s">
        <v>835</v>
      </c>
      <c r="B37" s="185" t="s">
        <v>728</v>
      </c>
      <c r="C37" s="179">
        <f>ROUND('DOE25'!F117+'DOE25'!F118,0)</f>
        <v>3050641</v>
      </c>
      <c r="D37" s="182">
        <f t="shared" si="1"/>
        <v>18.3</v>
      </c>
    </row>
    <row r="38" spans="1:4" x14ac:dyDescent="0.2">
      <c r="A38" s="183" t="s">
        <v>734</v>
      </c>
      <c r="B38" s="185" t="s">
        <v>729</v>
      </c>
      <c r="C38" s="179">
        <f>ROUND(SUM('DOE25'!F140:J140)-SUM('DOE25'!F117:F119),0)</f>
        <v>265406</v>
      </c>
      <c r="D38" s="182">
        <f t="shared" si="1"/>
        <v>1.6</v>
      </c>
    </row>
    <row r="39" spans="1:4" x14ac:dyDescent="0.2">
      <c r="A39">
        <v>4000</v>
      </c>
      <c r="B39" s="185" t="s">
        <v>730</v>
      </c>
      <c r="C39" s="179">
        <f>ROUND('DOE25'!F170+'DOE25'!G170+'DOE25'!H170+'DOE25'!I170,0)</f>
        <v>339765</v>
      </c>
      <c r="D39" s="182">
        <f t="shared" si="1"/>
        <v>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16647942.289999999</v>
      </c>
      <c r="D41" s="184">
        <f>SUM(D35:D40)</f>
        <v>99.999999999999986</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&amp;A</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SOUHEGAN COOPERATIVE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2020-08-24T14:14:10Z</cp:lastPrinted>
  <dcterms:created xsi:type="dcterms:W3CDTF">1997-12-04T19:04:30Z</dcterms:created>
  <dcterms:modified xsi:type="dcterms:W3CDTF">2020-12-11T21:01:44Z</dcterms:modified>
</cp:coreProperties>
</file>