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5" i="14" l="1"/>
  <c r="H605" i="1"/>
  <c r="H527" i="1"/>
  <c r="K532" i="1"/>
  <c r="I522" i="1"/>
  <c r="H522" i="1"/>
  <c r="G522" i="1"/>
  <c r="F522" i="1"/>
  <c r="G532" i="1"/>
  <c r="C10" i="12"/>
  <c r="C21" i="12"/>
  <c r="C20" i="12"/>
  <c r="G198" i="1"/>
  <c r="G204" i="1"/>
  <c r="I198" i="1"/>
  <c r="B10" i="12"/>
  <c r="J198" i="1"/>
  <c r="H198" i="1"/>
  <c r="F198" i="1"/>
  <c r="B20" i="12" l="1"/>
  <c r="B21" i="12"/>
  <c r="B19" i="12"/>
  <c r="B12" i="12"/>
  <c r="B11" i="12"/>
  <c r="F29" i="1"/>
  <c r="F9" i="1"/>
  <c r="F203" i="1"/>
  <c r="F532" i="1"/>
  <c r="H401" i="1"/>
  <c r="H159" i="1"/>
  <c r="H15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E110" i="2" s="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19" i="2"/>
  <c r="E120" i="2"/>
  <c r="E121" i="2"/>
  <c r="E123" i="2"/>
  <c r="E124"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I170" i="1"/>
  <c r="G339" i="1"/>
  <c r="G353" i="1" s="1"/>
  <c r="H140" i="1"/>
  <c r="A31" i="12" l="1"/>
  <c r="A40" i="12"/>
  <c r="C120" i="2"/>
  <c r="C20" i="10"/>
  <c r="C121" i="2"/>
  <c r="C11" i="10"/>
  <c r="H409" i="1"/>
  <c r="H645" i="1" s="1"/>
  <c r="J645" i="1" s="1"/>
  <c r="K339" i="1"/>
  <c r="G477" i="1"/>
  <c r="H112" i="1"/>
  <c r="L402" i="1"/>
  <c r="C139" i="2" s="1"/>
  <c r="H462" i="1"/>
  <c r="H642" i="1" s="1"/>
  <c r="J642" i="1" s="1"/>
  <c r="H477" i="1"/>
  <c r="H625" i="1" s="1"/>
  <c r="J625" i="1" s="1"/>
  <c r="K353" i="1"/>
  <c r="C91" i="2"/>
  <c r="D50" i="2"/>
  <c r="G553" i="1"/>
  <c r="F339" i="1"/>
  <c r="F353" i="1" s="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H661" i="1" s="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C141" i="2" l="1"/>
  <c r="C144" i="2" s="1"/>
  <c r="H649" i="1"/>
  <c r="J649" i="1" s="1"/>
  <c r="F661" i="1"/>
  <c r="F665" i="1" s="1"/>
  <c r="F668" i="1" s="1"/>
  <c r="E145" i="2"/>
  <c r="E51" i="2"/>
  <c r="D51" i="2"/>
  <c r="H665" i="1"/>
  <c r="H668" i="1" s="1"/>
  <c r="C81" i="2"/>
  <c r="F194" i="1"/>
  <c r="E104" i="2"/>
  <c r="C36" i="10"/>
  <c r="L435" i="1"/>
  <c r="G639" i="1" s="1"/>
  <c r="J639"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<sst xmlns="http://schemas.openxmlformats.org/spreadsheetml/2006/main" count="5545" uniqueCount="1643">
  <si>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</si>
  <si>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</si>
  <si>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</si>
  <si>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</si>
  <si>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</si>
  <si>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</si>
  <si>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</si>
  <si>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</si>
  <si>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</si>
  <si>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</si>
  <si>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</si>
  <si>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</si>
  <si>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</si>
  <si>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</si>
  <si>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</si>
  <si>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</si>
  <si>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</si>
  <si>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</si>
  <si>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</si>
  <si>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</si>
  <si>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</si>
  <si>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</si>
  <si>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</si>
  <si>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</si>
  <si>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</si>
  <si>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</si>
  <si>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</si>
  <si>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</si>
  <si>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</si>
  <si>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</si>
  <si>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</si>
  <si>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</si>
  <si>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</si>
  <si>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</si>
  <si>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</si>
  <si>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</si>
  <si>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</si>
  <si>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</si>
  <si>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</si>
  <si>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</si>
  <si>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</si>
  <si>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</si>
  <si>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</si>
  <si>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</si>
  <si>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</si>
  <si>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</si>
  <si>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</si>
  <si>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</si>
  <si>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</si>
  <si>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</si>
  <si>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</si>
  <si>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</si>
  <si>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</si>
  <si>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</si>
  <si>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</si>
  <si>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</si>
  <si>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</si>
  <si>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</si>
  <si>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</si>
  <si>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</si>
  <si>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</si>
  <si>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</si>
  <si>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</si>
  <si>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</si>
  <si>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</si>
  <si>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</si>
  <si>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</si>
  <si>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</si>
  <si>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</si>
  <si>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</si>
  <si>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</si>
  <si>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</si>
  <si>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</si>
  <si>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</si>
  <si>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</si>
  <si>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</si>
  <si>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</si>
  <si>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</si>
  <si>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</si>
  <si>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</si>
  <si>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</si>
  <si>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</si>
  <si>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</si>
  <si>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</si>
  <si>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</si>
  <si>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</si>
  <si>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</si>
  <si>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</si>
  <si>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</si>
  <si>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</si>
  <si>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</si>
  <si>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</si>
  <si>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</si>
  <si>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</si>
  <si>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</si>
  <si>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</si>
  <si>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</si>
  <si>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</si>
  <si>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</si>
  <si>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</si>
  <si>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</si>
  <si>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</si>
  <si>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</si>
  <si>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</si>
  <si>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</si>
  <si>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</si>
  <si>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</si>
  <si>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</si>
  <si>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</si>
  <si>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</si>
  <si>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</si>
  <si>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</si>
  <si>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</si>
  <si>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</si>
  <si>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</si>
  <si>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</si>
  <si>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</si>
  <si>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</si>
  <si>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</si>
  <si>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</si>
  <si>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</si>
  <si>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</si>
  <si>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</si>
  <si>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</si>
  <si>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</si>
  <si>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</si>
  <si>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</si>
  <si>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</si>
  <si>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</si>
  <si>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</si>
  <si>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</si>
  <si>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</si>
  <si>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</si>
  <si>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</si>
  <si>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</si>
  <si>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</si>
  <si>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</si>
  <si>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</si>
  <si>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</si>
  <si>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</si>
  <si>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</si>
  <si>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</si>
  <si>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</si>
  <si>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</si>
  <si>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</si>
  <si>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</si>
  <si>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</si>
  <si>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</si>
  <si>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</si>
  <si>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</si>
  <si>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</si>
  <si>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</si>
  <si>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</si>
  <si>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</si>
  <si>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</si>
  <si>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</si>
  <si>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</si>
  <si>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</si>
  <si>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</si>
  <si>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</si>
  <si>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</si>
  <si>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</si>
  <si>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</si>
  <si>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</si>
  <si>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</si>
  <si>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</si>
  <si>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</si>
  <si>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</si>
  <si>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</si>
  <si>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</si>
  <si>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</si>
  <si>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</si>
  <si>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</si>
  <si>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</si>
  <si>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</si>
  <si>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</si>
  <si>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</si>
  <si>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</si>
  <si>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</si>
  <si>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</si>
  <si>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</si>
  <si>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</si>
  <si>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</si>
  <si>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</si>
  <si>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</si>
  <si>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</si>
  <si>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</si>
  <si>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</si>
  <si>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</si>
  <si>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</si>
  <si>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</si>
  <si>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</si>
  <si>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</si>
  <si>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</si>
  <si>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</si>
  <si>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</si>
  <si>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</si>
  <si>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</si>
  <si>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</si>
  <si>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</si>
  <si>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</si>
  <si>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</si>
  <si>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</si>
  <si>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</si>
  <si>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</si>
  <si>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</si>
  <si>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</si>
  <si>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</si>
  <si>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</si>
  <si>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</si>
  <si>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</si>
  <si>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</si>
  <si>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</si>
  <si>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</si>
  <si>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</si>
  <si>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</si>
  <si>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</si>
  <si>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</si>
  <si>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</si>
  <si>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</si>
  <si>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</si>
  <si>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</si>
  <si>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</si>
  <si>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</si>
  <si>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</si>
  <si>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</si>
  <si>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</si>
  <si>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</si>
  <si>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</si>
  <si>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</si>
  <si>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</si>
  <si>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</si>
  <si>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</si>
  <si>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</si>
  <si>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</si>
  <si>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</si>
  <si>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</si>
  <si>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</si>
  <si>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</si>
  <si>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</si>
  <si>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</si>
  <si>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</si>
  <si>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</si>
  <si>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</si>
  <si>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</si>
  <si>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</si>
  <si>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</si>
  <si>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</si>
  <si>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</si>
  <si>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</si>
  <si>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</si>
  <si>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</si>
  <si>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</si>
  <si>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</si>
  <si>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</si>
  <si>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</si>
  <si>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</si>
  <si>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</si>
  <si>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</si>
  <si>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</si>
  <si>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</si>
  <si>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</si>
  <si>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</si>
  <si>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</si>
  <si>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</si>
  <si>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</si>
  <si>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</si>
  <si>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</si>
  <si>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</si>
  <si>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</si>
  <si>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</si>
  <si>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</si>
  <si>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</si>
  <si>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</si>
  <si>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</si>
  <si>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</si>
  <si>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</si>
  <si>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</si>
  <si>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</si>
  <si>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</si>
  <si>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</si>
  <si>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</si>
  <si>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</si>
  <si>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</si>
  <si>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</si>
  <si>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</si>
  <si>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</si>
  <si>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</si>
  <si>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</si>
  <si>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</si>
  <si>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</si>
  <si>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</si>
  <si>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</si>
  <si>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</si>
  <si>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</si>
  <si>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</si>
  <si>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</si>
  <si>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</si>
  <si>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</si>
  <si>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</si>
  <si>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</si>
  <si>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</si>
  <si>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</si>
  <si>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</si>
  <si>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</si>
  <si>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</si>
  <si>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</si>
  <si>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</si>
  <si>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</si>
  <si>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</si>
  <si>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</si>
  <si>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</si>
  <si>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</si>
  <si>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</si>
  <si>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</si>
  <si>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</si>
  <si>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</si>
  <si>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</si>
  <si>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</si>
  <si>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</si>
  <si>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</si>
  <si>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</si>
  <si>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</si>
  <si>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</si>
  <si>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</si>
  <si>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</si>
  <si>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</si>
  <si>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</si>
  <si>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</si>
  <si>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</si>
  <si>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</si>
  <si>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</si>
  <si>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</si>
  <si>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</si>
  <si>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</si>
  <si>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</si>
  <si>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</si>
  <si>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</si>
  <si>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</si>
  <si>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</si>
  <si>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</si>
  <si>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</si>
  <si>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</si>
  <si>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</si>
  <si>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</si>
  <si>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</si>
  <si>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</si>
  <si>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</si>
  <si>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</si>
  <si>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</si>
  <si>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</si>
  <si>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</si>
  <si>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</si>
  <si>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</si>
  <si>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</si>
  <si>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</si>
  <si>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</si>
  <si>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</si>
  <si>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</si>
  <si>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</si>
  <si>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</si>
  <si>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</si>
  <si>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</si>
  <si>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</si>
  <si>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</si>
  <si>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</si>
  <si>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</si>
  <si>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</si>
  <si>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</si>
  <si>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</si>
  <si>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</si>
  <si>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</si>
  <si>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</si>
  <si>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</si>
  <si>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</si>
  <si>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</si>
  <si>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</si>
  <si>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</si>
  <si>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</si>
  <si>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</si>
  <si>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</si>
  <si>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</si>
  <si>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</si>
  <si>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</si>
  <si>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</si>
  <si>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</si>
  <si>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</si>
  <si>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</si>
  <si>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</si>
  <si>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</si>
  <si>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</si>
  <si>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</si>
  <si>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</si>
  <si>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</si>
  <si>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</si>
  <si>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</si>
  <si>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</si>
  <si>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</si>
  <si>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</si>
  <si>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</si>
  <si>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</si>
  <si>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</si>
  <si>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</si>
  <si>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</si>
  <si>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</si>
  <si>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</si>
  <si>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</si>
  <si>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</si>
  <si>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</si>
  <si>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</si>
  <si>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</si>
  <si>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</si>
  <si>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</si>
  <si>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</si>
  <si>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</si>
  <si>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</si>
  <si>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</si>
  <si>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</si>
  <si>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</si>
  <si>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</si>
  <si>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</si>
  <si>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</si>
  <si>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</si>
  <si>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</si>
  <si>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</si>
  <si>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</si>
  <si>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</si>
  <si>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</si>
  <si>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</si>
  <si>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</si>
  <si>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</si>
  <si>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</si>
  <si>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</si>
  <si>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</si>
  <si>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</si>
  <si>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</si>
  <si>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</si>
  <si>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</si>
  <si>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</si>
  <si>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</si>
  <si>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</si>
  <si>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</si>
  <si>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</si>
  <si>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</si>
  <si>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</si>
  <si>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</si>
  <si>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</si>
  <si>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</si>
  <si>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</si>
  <si>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</si>
  <si>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</si>
  <si>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</si>
  <si>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</si>
  <si>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</si>
  <si>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</si>
  <si>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</si>
  <si>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</si>
  <si>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</si>
  <si>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</si>
  <si>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</si>
  <si>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</si>
  <si>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</si>
  <si>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</si>
  <si>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</si>
  <si>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</si>
  <si>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</si>
  <si>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</si>
  <si>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</si>
  <si>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</si>
  <si>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</si>
  <si>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</si>
  <si>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</si>
  <si>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</si>
  <si>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</si>
  <si>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</si>
  <si>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</si>
  <si>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</si>
  <si>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</si>
  <si>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</si>
  <si>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</si>
  <si>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</si>
  <si>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</si>
  <si>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</si>
  <si>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</si>
  <si>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</si>
  <si>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</si>
  <si>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</si>
  <si>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</si>
  <si>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</si>
  <si>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</si>
  <si>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</si>
  <si>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</si>
  <si>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</si>
  <si>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</si>
  <si>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</si>
  <si>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</si>
  <si>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</si>
  <si>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</si>
  <si>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</si>
  <si>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</si>
  <si>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</si>
  <si>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</si>
  <si>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</si>
  <si>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</si>
  <si>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</si>
  <si>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</si>
  <si>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</si>
  <si>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</si>
  <si>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</si>
  <si>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</si>
  <si>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</si>
  <si>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</si>
  <si>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</si>
  <si>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</si>
  <si>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</si>
  <si>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</si>
  <si>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</si>
  <si>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</si>
  <si>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</si>
  <si>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</si>
  <si>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</si>
  <si>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</si>
  <si>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</si>
  <si>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</si>
  <si>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</si>
  <si>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</si>
  <si>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</si>
  <si>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</si>
  <si>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</si>
  <si>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</si>
  <si>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</si>
  <si>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</si>
  <si>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</si>
  <si>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</si>
  <si>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</si>
  <si>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</si>
  <si>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</si>
  <si>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</si>
  <si>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</si>
  <si>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</si>
  <si>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</si>
  <si>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</si>
  <si>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</si>
  <si>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</si>
  <si>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</si>
  <si>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</si>
  <si>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</si>
  <si>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</si>
  <si>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</si>
  <si>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</si>
  <si>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</si>
  <si>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</si>
  <si>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</si>
  <si>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</si>
  <si>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</si>
  <si>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</si>
  <si>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</si>
  <si>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</si>
  <si>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</si>
  <si>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</si>
  <si>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</si>
  <si>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</si>
  <si>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</si>
  <si>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</si>
  <si>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</si>
  <si>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</si>
  <si>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</si>
  <si>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</si>
  <si>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</si>
  <si>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</si>
  <si>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</si>
  <si>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</si>
  <si>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</si>
  <si>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</si>
  <si>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</si>
  <si>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</si>
  <si>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</si>
  <si>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</si>
  <si>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</si>
  <si>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</si>
  <si>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</si>
  <si>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</si>
  <si>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</si>
  <si>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</si>
  <si>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</si>
  <si>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</si>
  <si>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</si>
  <si>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</si>
  <si>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</si>
  <si>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</si>
  <si>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</si>
  <si>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</si>
  <si>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</si>
  <si>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</si>
  <si>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</si>
  <si>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</si>
  <si>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</si>
  <si>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</si>
  <si>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</si>
  <si>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</si>
  <si>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</si>
  <si>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</si>
  <si>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</si>
  <si>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</si>
  <si>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</si>
  <si>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</si>
  <si>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</si>
  <si>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</si>
  <si>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</si>
  <si>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</si>
  <si>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</si>
  <si>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</si>
  <si>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</si>
  <si>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</si>
  <si>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</si>
  <si>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</si>
  <si>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</si>
  <si>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</si>
  <si>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</si>
  <si>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</si>
  <si>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</si>
  <si>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</si>
  <si>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</si>
  <si>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</si>
  <si>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</si>
  <si>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</si>
  <si>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</si>
  <si>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</si>
  <si>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</si>
  <si>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</si>
  <si>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</si>
  <si>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</si>
  <si>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</si>
  <si>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</si>
  <si>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</si>
  <si>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</si>
  <si>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</si>
  <si>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</si>
  <si>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</si>
  <si>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</si>
  <si>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</si>
  <si>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</si>
  <si>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</si>
  <si>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</si>
  <si>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</si>
  <si>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</si>
  <si>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</si>
  <si>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</si>
  <si>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</si>
  <si>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</si>
  <si>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</si>
  <si>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</si>
  <si>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</si>
  <si>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</si>
  <si>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</si>
  <si>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</si>
  <si>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</si>
  <si>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</si>
  <si>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</si>
  <si>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</si>
  <si>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</si>
  <si>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</si>
  <si>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</si>
  <si>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</si>
  <si>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</si>
  <si>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</si>
  <si>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</si>
  <si>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</si>
  <si>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</si>
  <si>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</si>
  <si>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</si>
  <si>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</si>
  <si>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</si>
  <si>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</si>
  <si>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</si>
  <si>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</si>
  <si>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</si>
  <si>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</si>
  <si>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</si>
  <si>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</si>
  <si>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</si>
  <si>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</si>
  <si>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</si>
  <si>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</si>
  <si>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</si>
  <si>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</si>
  <si>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</si>
  <si>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</si>
  <si>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</si>
  <si>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</si>
  <si>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</si>
  <si>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</si>
  <si>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</si>
  <si>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</si>
  <si>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</si>
  <si>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</si>
  <si>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</si>
  <si>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</si>
  <si>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</si>
  <si>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</si>
  <si>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</si>
  <si>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</si>
  <si>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</si>
  <si>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</si>
  <si>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</si>
  <si>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</si>
  <si>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</si>
  <si>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</si>
  <si>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</si>
  <si>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</si>
  <si>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</si>
  <si>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</si>
  <si>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</si>
  <si>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</si>
  <si>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</si>
  <si>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</si>
  <si>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</si>
  <si>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</si>
  <si>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</si>
  <si>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</si>
  <si>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</si>
  <si>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</si>
  <si>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</si>
  <si>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</si>
  <si>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</si>
  <si>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</si>
  <si>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</si>
  <si>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</si>
  <si>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</si>
  <si>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</si>
  <si>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</si>
  <si>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</si>
  <si>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</si>
  <si>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</si>
  <si>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</si>
  <si>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</si>
  <si>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</si>
  <si>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</si>
  <si>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</si>
  <si>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</si>
  <si>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</si>
  <si>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</si>
  <si>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</si>
  <si>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</si>
  <si>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</si>
  <si>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</si>
  <si>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</si>
  <si>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</si>
  <si>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</si>
  <si>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</si>
  <si>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</si>
  <si>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</si>
  <si>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</si>
  <si>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</si>
  <si>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</si>
  <si>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</si>
  <si>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</si>
  <si>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</si>
  <si>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</si>
  <si>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</si>
  <si>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</si>
  <si>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</si>
  <si>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</si>
  <si>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</si>
  <si>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</si>
  <si>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</si>
  <si>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</si>
  <si>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</si>
  <si>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</si>
  <si>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</si>
  <si>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</si>
  <si>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</si>
  <si>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</si>
  <si>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</si>
  <si>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</si>
  <si>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</si>
  <si>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</si>
  <si>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</si>
  <si>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</si>
  <si>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</si>
  <si>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</si>
  <si>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</si>
  <si>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</si>
  <si>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</si>
  <si>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</si>
  <si>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</si>
  <si>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</si>
  <si>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</si>
  <si>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</si>
  <si>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</si>
  <si>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</si>
  <si>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</si>
  <si>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</si>
  <si>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</si>
  <si>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</si>
  <si>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</si>
  <si>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</si>
  <si>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</si>
  <si>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</si>
  <si>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</si>
  <si>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</si>
  <si>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</si>
  <si>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</si>
  <si>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</si>
  <si>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</si>
  <si>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</si>
  <si>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</si>
  <si>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</si>
  <si>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</si>
  <si>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</si>
  <si>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</si>
  <si>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</si>
  <si>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</si>
  <si>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</si>
  <si>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</si>
  <si>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</si>
  <si>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</si>
  <si>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</si>
  <si>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</si>
  <si>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</si>
  <si>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</si>
  <si>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</si>
  <si>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</si>
  <si>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</si>
  <si>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</si>
  <si>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</si>
  <si>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</si>
  <si>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</si>
  <si>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</si>
  <si>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</si>
  <si>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</si>
  <si>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</si>
  <si>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</si>
  <si>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</si>
  <si>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</si>
  <si>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</si>
  <si>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</si>
  <si>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</si>
  <si>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</si>
  <si>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</si>
  <si>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</si>
  <si>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</si>
  <si>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</si>
  <si>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</si>
  <si>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</si>
  <si>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</si>
  <si>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</si>
  <si>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</si>
  <si>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</si>
  <si>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</si>
  <si>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</si>
  <si>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</si>
  <si>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</si>
  <si>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</si>
  <si>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</si>
  <si>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</si>
  <si>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</si>
  <si>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</si>
  <si>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</si>
  <si>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</si>
  <si>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</si>
  <si>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</si>
  <si>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</si>
  <si>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</si>
  <si>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</si>
  <si>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</si>
  <si>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</si>
  <si>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</si>
  <si>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</si>
  <si>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</si>
  <si>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</si>
  <si>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</si>
  <si>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</si>
  <si>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</si>
  <si>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</si>
  <si>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</si>
  <si>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</si>
  <si>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</si>
  <si>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</si>
  <si>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</si>
  <si>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</si>
  <si>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</si>
  <si>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</si>
  <si>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</si>
  <si>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</si>
  <si>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</si>
  <si>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</si>
  <si>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</si>
  <si>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</si>
  <si>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</si>
  <si>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</si>
  <si>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</si>
  <si>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</si>
  <si>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</si>
  <si>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</si>
  <si>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</si>
  <si>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</si>
  <si>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</si>
  <si>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</si>
  <si>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</si>
  <si>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</si>
  <si>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</si>
  <si>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</si>
  <si>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</si>
  <si>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</si>
  <si>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</si>
  <si>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</si>
  <si>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</si>
  <si>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</si>
  <si>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</si>
  <si>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</si>
  <si>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</si>
  <si>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</si>
  <si>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</si>
  <si>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</si>
  <si>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</si>
  <si>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</si>
  <si>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</si>
  <si>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</si>
  <si>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</si>
  <si>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</si>
  <si>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</si>
  <si>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</si>
  <si>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</si>
  <si>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</si>
  <si>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</si>
  <si>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</si>
  <si>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</si>
  <si>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</si>
  <si>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</si>
  <si>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</si>
  <si>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</si>
  <si>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</si>
  <si>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</si>
  <si>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</si>
  <si>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</si>
  <si>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</si>
  <si>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</si>
  <si>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</si>
  <si>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</si>
  <si>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</si>
  <si>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</si>
  <si>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</si>
  <si>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</si>
  <si>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</si>
  <si>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</si>
  <si>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</si>
  <si>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</si>
  <si>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</si>
  <si>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</si>
  <si>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</si>
  <si>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</si>
  <si>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</si>
  <si>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</si>
  <si>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</si>
  <si>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</si>
  <si>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</si>
  <si>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</si>
  <si>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</si>
  <si>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</si>
  <si>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</si>
  <si>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</si>
  <si>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</si>
  <si>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</si>
  <si>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</si>
  <si>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</si>
  <si>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</si>
  <si>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</si>
  <si>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</si>
  <si>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</si>
  <si>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</si>
  <si>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</si>
  <si>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</si>
  <si>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</si>
  <si>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</si>
  <si>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</si>
  <si>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</si>
  <si>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</si>
  <si>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</si>
  <si>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</si>
  <si>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</si>
  <si>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</si>
  <si>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</si>
  <si>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</si>
  <si>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</si>
  <si>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</si>
  <si>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</si>
  <si>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</si>
  <si>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</si>
  <si>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</si>
  <si>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</si>
  <si>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</si>
  <si>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</si>
  <si>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</si>
  <si>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</si>
  <si>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</si>
  <si>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</si>
  <si>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</si>
  <si>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</si>
  <si>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</si>
  <si>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</si>
  <si>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</si>
  <si>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</si>
  <si>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</si>
  <si>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</si>
  <si>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</si>
  <si>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</si>
  <si>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</si>
  <si>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</si>
  <si>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</si>
  <si>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</si>
  <si>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</si>
  <si>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</si>
  <si>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</si>
  <si>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</si>
  <si>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</si>
  <si>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</si>
  <si>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</si>
  <si>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</si>
  <si>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</si>
  <si>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</si>
  <si>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</si>
  <si>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</si>
  <si>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</si>
  <si>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</si>
  <si>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</si>
  <si>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</si>
  <si>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</si>
  <si>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</si>
  <si>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</si>
  <si>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</si>
  <si>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</si>
  <si>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</si>
  <si>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</si>
  <si>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</si>
  <si>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</si>
  <si>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</si>
  <si>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</si>
  <si>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</si>
  <si>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</si>
  <si>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</si>
  <si>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</si>
  <si>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</si>
  <si>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</si>
  <si>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</si>
  <si>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</si>
  <si>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</si>
  <si>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</si>
  <si>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</si>
  <si>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</si>
  <si>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</si>
  <si>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</si>
  <si>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</si>
  <si>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</si>
  <si>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</si>
  <si>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</si>
  <si>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</si>
  <si>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</si>
  <si>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</si>
  <si>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</si>
  <si>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</si>
  <si>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</si>
  <si>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</si>
  <si>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</si>
  <si>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</si>
  <si>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</si>
  <si>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</si>
  <si>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</si>
  <si>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</si>
  <si>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</si>
  <si>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</si>
  <si>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</si>
  <si>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</si>
  <si>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</si>
  <si>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</si>
  <si>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</si>
  <si>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</si>
  <si>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</si>
  <si>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</si>
  <si>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</si>
  <si>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</si>
  <si>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</si>
  <si>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</si>
  <si>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</si>
  <si>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</si>
  <si>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</si>
  <si>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</si>
  <si>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</si>
  <si>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</si>
  <si>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</si>
  <si>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</si>
  <si>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</si>
  <si>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</si>
  <si>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</si>
  <si>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</si>
  <si>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</si>
  <si>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</si>
  <si>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</si>
  <si>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</si>
  <si>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</si>
  <si>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</si>
  <si>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</si>
  <si>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</si>
  <si>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</si>
  <si>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</si>
  <si>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</si>
  <si>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</si>
  <si>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</si>
  <si>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</si>
  <si>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</si>
  <si>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</si>
  <si>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</si>
  <si>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</si>
  <si>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</si>
  <si>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</si>
  <si>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</si>
  <si>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</si>
  <si>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</si>
  <si>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</si>
  <si>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</si>
  <si>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</si>
  <si>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</si>
  <si>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</si>
  <si>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</si>
  <si>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</si>
  <si>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</si>
  <si>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</si>
  <si>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</si>
  <si>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</si>
  <si>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</si>
  <si>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</si>
  <si>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</si>
  <si>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</si>
  <si>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</si>
  <si>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</si>
  <si>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</si>
  <si>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</si>
  <si>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</si>
  <si>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</si>
  <si>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</si>
  <si>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</si>
  <si>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</si>
  <si>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</si>
  <si>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</si>
  <si>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</si>
  <si>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</si>
  <si>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</si>
  <si>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</si>
  <si>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</si>
  <si>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</si>
  <si>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</si>
  <si>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</si>
  <si>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</si>
  <si>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</si>
  <si>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</si>
  <si>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</si>
  <si>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</si>
  <si>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</si>
  <si>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</si>
  <si>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</si>
  <si>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</si>
  <si>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</si>
  <si>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</si>
  <si>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</si>
  <si>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</si>
  <si>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</si>
  <si>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</si>
  <si>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</si>
  <si>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</si>
  <si>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</si>
  <si>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</si>
  <si>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</si>
  <si>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</si>
  <si>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</si>
  <si>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</si>
  <si>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</si>
  <si>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</si>
  <si>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</si>
  <si>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</si>
  <si>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</si>
  <si>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</si>
  <si>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</si>
  <si>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</si>
  <si>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</si>
  <si>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</si>
  <si>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</si>
  <si>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</si>
  <si>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</si>
  <si>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</si>
  <si>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</si>
  <si>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</si>
  <si>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</si>
  <si>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</si>
  <si>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</si>
  <si>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</si>
  <si>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</si>
  <si>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</si>
  <si>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</si>
  <si>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</si>
  <si>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</si>
  <si>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</si>
  <si>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</si>
  <si>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</si>
  <si>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</si>
  <si>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</si>
  <si>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</si>
  <si>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</si>
  <si>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</si>
  <si>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</si>
  <si>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</si>
  <si>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</si>
  <si>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</si>
  <si>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</si>
  <si>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</si>
  <si>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</si>
  <si>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</si>
  <si>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</si>
  <si>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</si>
  <si>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</si>
  <si>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</si>
  <si>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</si>
  <si>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</si>
  <si>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</si>
  <si>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</si>
  <si>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</si>
  <si>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</si>
  <si>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</si>
  <si>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</si>
  <si>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</si>
  <si>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</si>
  <si>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</si>
  <si>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</si>
  <si>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</si>
  <si>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</si>
  <si>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</si>
  <si>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</si>
  <si>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</si>
  <si>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</si>
  <si>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</si>
  <si>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</si>
  <si>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</si>
  <si>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</si>
  <si>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</si>
  <si>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</si>
  <si>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</si>
  <si>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</si>
  <si>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</si>
  <si>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</si>
  <si>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</si>
  <si>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</si>
  <si>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</si>
  <si>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</si>
  <si>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</si>
  <si>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</si>
  <si>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</si>
  <si>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</si>
  <si>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</si>
  <si>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</si>
  <si>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</si>
  <si>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</si>
  <si>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</si>
  <si>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</si>
  <si>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</si>
  <si>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</si>
  <si>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</si>
  <si>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</si>
  <si>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</si>
  <si>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</si>
  <si>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</si>
  <si>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</si>
  <si>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</si>
  <si>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</si>
  <si>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</si>
  <si>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</si>
  <si>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</si>
  <si>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</si>
  <si>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</si>
  <si>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</si>
  <si>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</si>
  <si>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</si>
  <si>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</si>
  <si>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</si>
  <si>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</si>
  <si>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</si>
  <si>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</si>
  <si>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</si>
  <si>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</si>
  <si>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</si>
  <si>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</si>
  <si>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</si>
  <si>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</si>
  <si>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</si>
  <si>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</si>
  <si>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</si>
  <si>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</si>
  <si>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</si>
  <si>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</si>
  <si>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</si>
  <si>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</si>
  <si>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</si>
  <si>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</si>
  <si>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</si>
  <si>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</si>
  <si>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</si>
  <si>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</si>
  <si>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</si>
  <si>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</si>
  <si>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</si>
  <si>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</si>
  <si>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</si>
  <si>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</si>
  <si>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</si>
  <si>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</si>
  <si>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</si>
  <si>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</si>
  <si>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</si>
  <si>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</si>
  <si>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</si>
  <si>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</si>
  <si>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</si>
  <si>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</si>
  <si>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</si>
  <si>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</si>
  <si>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</si>
  <si>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</si>
  <si>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</si>
  <si>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</si>
  <si>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</si>
  <si>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</si>
  <si>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</si>
  <si>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</si>
  <si>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</si>
  <si>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</si>
  <si>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</si>
  <si>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</si>
  <si>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</si>
  <si>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</si>
  <si>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</si>
  <si>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</si>
  <si>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</si>
  <si>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</si>
  <si>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</si>
  <si>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</si>
  <si>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</si>
  <si>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</si>
  <si>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</si>
  <si>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</si>
  <si>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</si>
  <si>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</si>
  <si>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</si>
  <si>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</si>
  <si>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</si>
  <si>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</si>
  <si>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</si>
  <si>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</si>
  <si>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</si>
  <si>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</si>
  <si>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</si>
  <si>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</si>
  <si>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</si>
  <si>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</si>
  <si>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</si>
  <si>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</si>
  <si>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</si>
  <si>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</si>
  <si>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</si>
  <si>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</si>
  <si>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</si>
  <si>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</si>
  <si>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</si>
  <si>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</si>
  <si>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</si>
  <si>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</si>
  <si>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</si>
  <si>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</si>
  <si>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</si>
  <si>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</si>
  <si>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</si>
  <si>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</si>
  <si>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</si>
  <si>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</si>
  <si>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</si>
  <si>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</si>
  <si>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</si>
  <si>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</si>
  <si>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</si>
  <si>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</si>
  <si>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</si>
  <si>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</si>
  <si>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</si>
  <si>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</si>
  <si>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</si>
  <si>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</si>
  <si>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</si>
  <si>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</si>
  <si>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</si>
  <si>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</si>
  <si>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</si>
  <si>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</si>
  <si>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</si>
  <si>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</si>
  <si>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</si>
  <si>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</si>
  <si>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</si>
  <si>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</si>
  <si>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</si>
  <si>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</si>
  <si>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</si>
  <si>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</si>
  <si>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</si>
  <si>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</si>
  <si>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</si>
  <si>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</si>
  <si>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</si>
  <si>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</si>
  <si>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</si>
  <si>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</si>
  <si>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</si>
  <si>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</si>
  <si>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</si>
  <si>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</si>
  <si>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</si>
  <si>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</si>
  <si>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</si>
  <si>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</si>
  <si>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</si>
  <si>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</si>
  <si>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</si>
  <si>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</si>
  <si>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</si>
  <si>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</si>
  <si>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</si>
  <si>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</si>
  <si>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</si>
  <si>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</si>
  <si>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</si>
  <si>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</si>
  <si>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</si>
  <si>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</si>
  <si>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</si>
  <si>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</si>
  <si>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</si>
  <si>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</si>
  <si>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</si>
  <si>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</si>
  <si>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</si>
  <si>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</si>
  <si>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</si>
  <si>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</si>
  <si>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</si>
  <si>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</si>
  <si>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</si>
  <si>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</si>
  <si>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</si>
  <si>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</si>
  <si>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</si>
  <si>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</si>
  <si>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</si>
  <si>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</si>
  <si>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</si>
  <si>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</si>
  <si>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</si>
  <si>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</si>
  <si>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</si>
  <si>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</si>
  <si>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</si>
  <si>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</si>
  <si>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</si>
  <si>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</si>
  <si>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</si>
  <si>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</si>
  <si>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</si>
  <si>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</si>
  <si>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</si>
  <si>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</si>
  <si>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</si>
  <si>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</si>
  <si>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</si>
  <si>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</si>
  <si>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</si>
  <si>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</si>
  <si>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</si>
  <si>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</si>
  <si>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</si>
  <si>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</si>
  <si>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</si>
  <si>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</si>
  <si>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</si>
  <si>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</si>
  <si>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</si>
  <si>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</si>
  <si>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</si>
  <si>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</si>
  <si>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</si>
  <si>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</si>
  <si>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</si>
  <si>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</si>
  <si>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</si>
  <si>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</si>
  <si>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</si>
  <si>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</si>
  <si>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</si>
  <si>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</si>
  <si>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</si>
  <si>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</si>
  <si>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</si>
  <si>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</si>
  <si>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</si>
  <si>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</si>
  <si>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</si>
  <si>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</si>
  <si>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</si>
  <si>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</si>
  <si>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</si>
  <si>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</si>
  <si>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</si>
  <si>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</si>
  <si>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</si>
  <si>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</si>
  <si>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</si>
  <si>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</si>
  <si>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</si>
  <si>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</si>
  <si>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</si>
  <si>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</si>
  <si>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</si>
  <si>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</si>
  <si>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</si>
  <si>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</si>
  <si>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</si>
  <si>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</si>
  <si>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</si>
  <si>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</si>
  <si>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</si>
  <si>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</si>
  <si>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</si>
  <si>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</si>
  <si>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</si>
  <si>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</si>
  <si>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</si>
  <si>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</si>
  <si>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</si>
  <si>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</si>
  <si>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</si>
  <si>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</si>
  <si>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</si>
  <si>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</si>
  <si>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</si>
  <si>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</si>
  <si>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</si>
  <si>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</si>
  <si>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</si>
  <si>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</si>
  <si>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</si>
  <si>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</si>
  <si>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</si>
  <si>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</si>
  <si>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</si>
  <si>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</si>
  <si>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</si>
  <si>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</si>
  <si>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</si>
  <si>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</si>
  <si>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</si>
  <si>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</si>
  <si>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</si>
  <si>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</si>
  <si>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</si>
  <si>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</si>
  <si>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</si>
  <si>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</si>
  <si>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</si>
  <si>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</si>
  <si>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</si>
  <si>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</si>
  <si>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</si>
  <si>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</si>
  <si>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</si>
  <si>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</si>
  <si>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</si>
  <si>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</si>
  <si>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</si>
  <si>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</si>
  <si>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</si>
  <si>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</si>
  <si>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</si>
  <si>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</si>
  <si>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</si>
  <si>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</si>
  <si>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</si>
  <si>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</si>
  <si>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</si>
  <si>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</si>
  <si>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</si>
  <si>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</si>
  <si>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</si>
  <si>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</si>
  <si>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</si>
  <si>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</si>
  <si>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</si>
  <si>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</si>
  <si>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</si>
  <si>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</si>
  <si>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</si>
  <si>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</si>
  <si>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</si>
  <si>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</si>
  <si>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</si>
  <si>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</si>
  <si>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</si>
  <si>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</si>
  <si>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</si>
  <si>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</si>
  <si>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</si>
  <si>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</si>
  <si>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</si>
  <si>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</si>
  <si>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</si>
  <si>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</si>
  <si>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</si>
  <si>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</si>
  <si>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</si>
  <si>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</si>
  <si>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</si>
  <si>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</si>
  <si>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</si>
  <si>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</si>
  <si>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</si>
  <si>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</si>
  <si>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</si>
  <si>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</si>
  <si>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</si>
  <si>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</si>
  <si>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</si>
  <si>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</si>
  <si>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</si>
  <si>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</si>
  <si>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</si>
  <si>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</si>
  <si>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</si>
  <si>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</si>
  <si>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</si>
  <si>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SOUTH HAMPTON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</si>
</sst>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0" fontId="11" fillId="41" borderId="0" xfId="0" applyFon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18"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495</v>
      </c>
      <c r="C2" s="21">
        <v>495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63154.66+200</f>
        <v>63354.66</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320862.56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2621.19</v>
      </c>
      <c r="G12" s="18">
        <v>1391.23</v>
      </c>
      <c r="H12" s="18">
        <v>4010.02</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11504.35</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911.1</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78391.300000000017</v>
      </c>
      <c r="G19" s="41">
        <f>SUM(G9:G18)</f>
        <v>1391.23</v>
      </c>
      <c r="H19" s="41">
        <f>SUM(H9:H18)</f>
        <v>4010.02</v>
      </c>
      <c r="I19" s="41">
        <f>SUM(I9:I18)</f>
        <v>0</v>
      </c>
      <c r="J19" s="41">
        <f>SUM(J9:J18)</f>
        <v>320862.56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4010.02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3752.87</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3073.92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235.14+153.38</f>
        <v>388.52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7215.3099999999995</v>
      </c>
      <c r="G32" s="41">
        <f>SUM(G22:G31)</f>
        <v>0</v>
      </c>
      <c r="H32" s="41">
        <f>SUM(H22:H31)</f>
        <v>4010.02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1391.23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15520</v>
      </c>
      <c r="G48" s="18"/>
      <c r="H48" s="18"/>
      <c r="I48" s="18"/>
      <c r="J48" s="13">
        <f>SUM(I460)</f>
        <v>320862.56</v>
      </c>
      <c r="K48" s="24" t="s">
        <v>288</v>
      </c>
      <c r="L48" s="24" t="s">
        <v>288</v>
      </c>
      <c r="M48" s="8"/>
      <c r="N48" s="266"/>
    </row>
    <row r="49" spans="1:14" s="3" customFormat="1" ht="12.2" customHeight="1" x14ac:dyDescent="0.15">
      <c r="A49" s="1" t="s">
        <v>859</v>
      </c>
      <c r="B49" s="2" t="s">
        <v>289</v>
      </c>
      <c r="C49" s="6">
        <v>34</v>
      </c>
      <c r="D49" s="2"/>
      <c r="E49" s="6">
        <v>753</v>
      </c>
      <c r="F49" s="18">
        <v>1196.99</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19459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71175.989999999991</v>
      </c>
      <c r="G51" s="41">
        <f>SUM(G35:G50)</f>
        <v>1391.23</v>
      </c>
      <c r="H51" s="41">
        <f>SUM(H35:H50)</f>
        <v>0</v>
      </c>
      <c r="I51" s="41">
        <f>SUM(I35:I50)</f>
        <v>0</v>
      </c>
      <c r="J51" s="41">
        <f>SUM(J35:J50)</f>
        <v>320862.56</v>
      </c>
      <c r="K51" s="45" t="s">
        <v>288</v>
      </c>
      <c r="L51" s="45" t="s">
        <v>288</v>
      </c>
      <c r="N51" s="264"/>
    </row>
    <row r="52" spans="1:14" s="3" customFormat="1" ht="12.2" customHeight="1" thickTop="1" x14ac:dyDescent="0.15">
      <c r="A52" s="38" t="s">
        <v>455</v>
      </c>
      <c r="B52" s="39" t="s">
        <v>289</v>
      </c>
      <c r="C52" s="6">
        <v>37</v>
      </c>
      <c r="D52" s="39" t="s">
        <v>653</v>
      </c>
      <c r="E52" s="39"/>
      <c r="F52" s="41">
        <f>F51+F32</f>
        <v>78391.299999999988</v>
      </c>
      <c r="G52" s="41">
        <f>G51+G32</f>
        <v>1391.23</v>
      </c>
      <c r="H52" s="41">
        <f>H51+H32</f>
        <v>4010.02</v>
      </c>
      <c r="I52" s="41">
        <f>I51+I32</f>
        <v>0</v>
      </c>
      <c r="J52" s="41">
        <f>J51+J32</f>
        <v>320862.56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1899716.88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1899716.88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1162.6099999999999</v>
      </c>
      <c r="G96" s="18"/>
      <c r="H96" s="18"/>
      <c r="I96" s="18"/>
      <c r="J96" s="18">
        <v>17024.75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1319.75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1683.21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2845.8199999999997</v>
      </c>
      <c r="G111" s="41">
        <f>SUM(G96:G110)</f>
        <v>1319.75</v>
      </c>
      <c r="H111" s="41">
        <f>SUM(H96:H110)</f>
        <v>0</v>
      </c>
      <c r="I111" s="41">
        <f>SUM(I96:I110)</f>
        <v>0</v>
      </c>
      <c r="J111" s="41">
        <f>SUM(J96:J110)</f>
        <v>17024.75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1902562.7</v>
      </c>
      <c r="G112" s="41">
        <f>G60+G111</f>
        <v>1319.75</v>
      </c>
      <c r="H112" s="41">
        <f>H60+H79+H94+H111</f>
        <v>0</v>
      </c>
      <c r="I112" s="41">
        <f>I60+I111</f>
        <v>0</v>
      </c>
      <c r="J112" s="41">
        <f>J60+J111</f>
        <v>17024.75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185282.56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299096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484378.56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484378.56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2193.75</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2193.75</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23119.18</v>
      </c>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338.56+940.72+1149.62+2284.52</f>
        <v>4713.42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904.96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11548.9+1039.39+11799.04+1286.99+954.41</f>
        <v>26628.730000000003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9310.6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32429.78</v>
      </c>
      <c r="G163" s="41">
        <f>SUM(G150:G162)</f>
        <v>904.96</v>
      </c>
      <c r="H163" s="41">
        <f>SUM(H150:H162)</f>
        <v>31342.15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34623.53</v>
      </c>
      <c r="G170" s="41">
        <f>G147+G163+SUM(G164:G169)</f>
        <v>904.96</v>
      </c>
      <c r="H170" s="41">
        <f>H147+H163+SUM(H164:H169)</f>
        <v>31342.15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72316</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72316</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72316</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2421564.7899999996</v>
      </c>
      <c r="G194" s="47">
        <f>G112+G140+G170+G193</f>
        <v>2224.71</v>
      </c>
      <c r="H194" s="47">
        <f>H112+H140+H170+H193</f>
        <v>31342.15</v>
      </c>
      <c r="I194" s="47">
        <f>I112+I140+I170+I193</f>
        <v>0</v>
      </c>
      <c r="J194" s="47">
        <f>J112+J140+J193</f>
        <v>89340.75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531706.82+3187.47+4346.53</f>
        <v>539240.81999999995</v>
      </c>
      <c r="G198" s="18">
        <f>441.85+332.54+199967.15+0.28</f>
        <v>200741.82</v>
      </c>
      <c r="H198" s="18">
        <f>7749.48+2427.85+279</f>
        <v>10456.33</v>
      </c>
      <c r="I198" s="18">
        <f>9776.83+2704.26+479.05-0.87</f>
        <v>12959.269999999999</v>
      </c>
      <c r="J198" s="18">
        <f>1165.71+2358+2529.94</f>
        <v>6053.65</v>
      </c>
      <c r="K198" s="18">
        <v>279</v>
      </c>
      <c r="L198" s="19">
        <f>SUM(F198:K198)</f>
        <v>769730.8899999999</v>
      </c>
      <c r="M198" s="8"/>
      <c r="N198" s="266"/>
    </row>
    <row r="199" spans="1:14" s="3" customFormat="1" ht="12.2" customHeight="1" x14ac:dyDescent="0.15">
      <c r="A199" s="1" t="s">
        <v>439</v>
      </c>
      <c r="B199" s="2" t="s">
        <v>341</v>
      </c>
      <c r="C199" s="2" t="s">
        <v>291</v>
      </c>
      <c r="D199" s="2" t="s">
        <v>431</v>
      </c>
      <c r="E199" s="6">
        <v>1200</v>
      </c>
      <c r="F199" s="18">
        <v>281091.82</v>
      </c>
      <c r="G199" s="18">
        <v>79047.960000000006</v>
      </c>
      <c r="H199" s="18">
        <v>151252.38</v>
      </c>
      <c r="I199" s="18">
        <v>592.4</v>
      </c>
      <c r="J199" s="18"/>
      <c r="K199" s="18">
        <v>795</v>
      </c>
      <c r="L199" s="19">
        <f>SUM(F199:K199)</f>
        <v>512779.56000000006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6346</v>
      </c>
      <c r="G201" s="18">
        <v>519.1</v>
      </c>
      <c r="H201" s="18">
        <v>800</v>
      </c>
      <c r="I201" s="18">
        <v>889.08</v>
      </c>
      <c r="J201" s="18"/>
      <c r="K201" s="18"/>
      <c r="L201" s="19">
        <f>SUM(F201:K201)</f>
        <v>8554.18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13521+58351</f>
        <v>71872</v>
      </c>
      <c r="G203" s="18">
        <v>36254.910000000003</v>
      </c>
      <c r="H203" s="18">
        <v>276</v>
      </c>
      <c r="I203" s="18">
        <v>198.97</v>
      </c>
      <c r="J203" s="18">
        <v>107.1</v>
      </c>
      <c r="K203" s="18"/>
      <c r="L203" s="19">
        <f t="shared" ref="L203:L209" si="0">SUM(F203:K203)</f>
        <v>108708.98000000001</v>
      </c>
      <c r="M203" s="8"/>
      <c r="N203" s="266"/>
    </row>
    <row r="204" spans="1:14" s="3" customFormat="1" ht="12.2" customHeight="1" x14ac:dyDescent="0.15">
      <c r="A204" s="1" t="s">
        <v>443</v>
      </c>
      <c r="B204" s="2" t="s">
        <v>341</v>
      </c>
      <c r="C204" s="2" t="s">
        <v>295</v>
      </c>
      <c r="D204" s="2" t="s">
        <v>431</v>
      </c>
      <c r="E204" s="6">
        <v>2200</v>
      </c>
      <c r="F204" s="18">
        <v>22485.01</v>
      </c>
      <c r="G204" s="18">
        <f>6556.99+1877.27</f>
        <v>8434.26</v>
      </c>
      <c r="H204" s="18">
        <v>2820.8</v>
      </c>
      <c r="I204" s="18">
        <v>21088.55</v>
      </c>
      <c r="J204" s="18">
        <v>762</v>
      </c>
      <c r="K204" s="18"/>
      <c r="L204" s="19">
        <f t="shared" si="0"/>
        <v>55590.619999999995</v>
      </c>
      <c r="M204" s="8"/>
      <c r="N204" s="266"/>
    </row>
    <row r="205" spans="1:14" s="3" customFormat="1" ht="12.2" customHeight="1" x14ac:dyDescent="0.15">
      <c r="A205" s="1" t="s">
        <v>444</v>
      </c>
      <c r="B205" s="2" t="s">
        <v>341</v>
      </c>
      <c r="C205" s="2" t="s">
        <v>296</v>
      </c>
      <c r="D205" s="2" t="s">
        <v>431</v>
      </c>
      <c r="E205" s="6">
        <v>2300</v>
      </c>
      <c r="F205" s="18">
        <v>6337</v>
      </c>
      <c r="G205" s="18">
        <v>489.85</v>
      </c>
      <c r="H205" s="18">
        <v>69292</v>
      </c>
      <c r="I205" s="18"/>
      <c r="J205" s="18"/>
      <c r="K205" s="18">
        <v>3169.18</v>
      </c>
      <c r="L205" s="19">
        <f t="shared" si="0"/>
        <v>79288.03</v>
      </c>
      <c r="M205" s="8"/>
      <c r="N205" s="266"/>
    </row>
    <row r="206" spans="1:14" s="3" customFormat="1" ht="12.2" customHeight="1" x14ac:dyDescent="0.15">
      <c r="A206" s="1" t="s">
        <v>445</v>
      </c>
      <c r="B206" s="2" t="s">
        <v>341</v>
      </c>
      <c r="C206" s="2" t="s">
        <v>297</v>
      </c>
      <c r="D206" s="2" t="s">
        <v>431</v>
      </c>
      <c r="E206" s="6">
        <v>2400</v>
      </c>
      <c r="F206" s="18">
        <v>142524.51999999999</v>
      </c>
      <c r="G206" s="18">
        <v>49670.04</v>
      </c>
      <c r="H206" s="18">
        <v>2933.08</v>
      </c>
      <c r="I206" s="18">
        <v>1037.24</v>
      </c>
      <c r="J206" s="18"/>
      <c r="K206" s="18">
        <v>974</v>
      </c>
      <c r="L206" s="19">
        <f t="shared" si="0"/>
        <v>197138.87999999998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41686.230000000003</v>
      </c>
      <c r="G208" s="18">
        <v>3409.93</v>
      </c>
      <c r="H208" s="18">
        <v>49997.45</v>
      </c>
      <c r="I208" s="18">
        <v>37580.79</v>
      </c>
      <c r="J208" s="18">
        <v>766.97</v>
      </c>
      <c r="K208" s="18"/>
      <c r="L208" s="19">
        <f t="shared" si="0"/>
        <v>133441.37</v>
      </c>
      <c r="M208" s="8"/>
      <c r="N208" s="266"/>
    </row>
    <row r="209" spans="1:14" s="3" customFormat="1" ht="12.2" customHeight="1" x14ac:dyDescent="0.15">
      <c r="A209" s="1" t="s">
        <v>448</v>
      </c>
      <c r="B209" s="2" t="s">
        <v>341</v>
      </c>
      <c r="C209" s="2" t="s">
        <v>300</v>
      </c>
      <c r="D209" s="2" t="s">
        <v>431</v>
      </c>
      <c r="E209" s="6">
        <v>2700</v>
      </c>
      <c r="F209" s="18"/>
      <c r="G209" s="18"/>
      <c r="H209" s="18">
        <v>54877.85</v>
      </c>
      <c r="I209" s="18"/>
      <c r="J209" s="18"/>
      <c r="K209" s="18"/>
      <c r="L209" s="19">
        <f t="shared" si="0"/>
        <v>54877.85</v>
      </c>
      <c r="M209" s="8"/>
      <c r="N209" s="266"/>
    </row>
    <row r="210" spans="1:14" s="3" customFormat="1" ht="12.2" customHeight="1" x14ac:dyDescent="0.15">
      <c r="A210" s="1" t="s">
        <v>449</v>
      </c>
      <c r="B210" s="2" t="s">
        <v>341</v>
      </c>
      <c r="C210" s="2" t="s">
        <v>343</v>
      </c>
      <c r="D210" s="2" t="s">
        <v>431</v>
      </c>
      <c r="E210" s="6">
        <v>2800</v>
      </c>
      <c r="F210" s="18"/>
      <c r="G210" s="18">
        <v>1849.2</v>
      </c>
      <c r="H210" s="18"/>
      <c r="I210" s="18"/>
      <c r="J210" s="18"/>
      <c r="K210" s="18">
        <v>158</v>
      </c>
      <c r="L210" s="19">
        <f>SUM(F210:K210)</f>
        <v>2007.2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1111583.3999999999</v>
      </c>
      <c r="G212" s="41">
        <f t="shared" si="1"/>
        <v>380417.07</v>
      </c>
      <c r="H212" s="41">
        <f t="shared" si="1"/>
        <v>342705.88999999996</v>
      </c>
      <c r="I212" s="41">
        <f t="shared" si="1"/>
        <v>74346.299999999988</v>
      </c>
      <c r="J212" s="41">
        <f t="shared" si="1"/>
        <v>7689.72</v>
      </c>
      <c r="K212" s="41">
        <f t="shared" si="1"/>
        <v>5375.18</v>
      </c>
      <c r="L212" s="41">
        <f t="shared" si="1"/>
        <v>1922117.5599999998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408097.83</v>
      </c>
      <c r="I234" s="18"/>
      <c r="J234" s="18"/>
      <c r="K234" s="18"/>
      <c r="L234" s="19">
        <f>SUM(F234:K234)</f>
        <v>408097.83</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408097.83</v>
      </c>
      <c r="I248" s="41">
        <f t="shared" si="5"/>
        <v>0</v>
      </c>
      <c r="J248" s="41">
        <f t="shared" si="5"/>
        <v>0</v>
      </c>
      <c r="K248" s="41">
        <f t="shared" si="5"/>
        <v>0</v>
      </c>
      <c r="L248" s="41">
        <f t="shared" si="5"/>
        <v>408097.83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1111583.3999999999</v>
      </c>
      <c r="G258" s="41">
        <f t="shared" si="8"/>
        <v>380417.07</v>
      </c>
      <c r="H258" s="41">
        <f t="shared" si="8"/>
        <v>750803.72</v>
      </c>
      <c r="I258" s="41">
        <f t="shared" si="8"/>
        <v>74346.299999999988</v>
      </c>
      <c r="J258" s="41">
        <f t="shared" si="8"/>
        <v>7689.72</v>
      </c>
      <c r="K258" s="41">
        <f t="shared" si="8"/>
        <v>5375.18</v>
      </c>
      <c r="L258" s="41">
        <f t="shared" si="8"/>
        <v>2330215.3899999997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72316</v>
      </c>
      <c r="L267" s="19">
        <f t="shared" si="9"/>
        <v>72316</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72316</v>
      </c>
      <c r="L271" s="41">
        <f t="shared" si="9"/>
        <v>72316</v>
      </c>
      <c r="M271" s="8"/>
      <c r="N271" s="266"/>
    </row>
    <row r="272" spans="1:14" s="34" customFormat="1" ht="12.2" customHeight="1" thickTop="1" x14ac:dyDescent="0.2">
      <c r="A272" s="43" t="s">
        <v>464</v>
      </c>
      <c r="B272" s="40">
        <v>10</v>
      </c>
      <c r="C272" s="40">
        <v>18</v>
      </c>
      <c r="D272" s="39" t="s">
        <v>431</v>
      </c>
      <c r="E272" s="40"/>
      <c r="F272" s="42">
        <f t="shared" ref="F272:L272" si="11">F258+F271</f>
        <v>1111583.3999999999</v>
      </c>
      <c r="G272" s="42">
        <f t="shared" si="11"/>
        <v>380417.07</v>
      </c>
      <c r="H272" s="42">
        <f t="shared" si="11"/>
        <v>750803.72</v>
      </c>
      <c r="I272" s="42">
        <f t="shared" si="11"/>
        <v>74346.299999999988</v>
      </c>
      <c r="J272" s="42">
        <f t="shared" si="11"/>
        <v>7689.72</v>
      </c>
      <c r="K272" s="42">
        <f t="shared" si="11"/>
        <v>77691.179999999993</v>
      </c>
      <c r="L272" s="42">
        <f t="shared" si="11"/>
        <v>2402531.3899999997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12503.63</v>
      </c>
      <c r="G278" s="18">
        <v>1009.22</v>
      </c>
      <c r="H278" s="18">
        <v>7725</v>
      </c>
      <c r="I278" s="18">
        <v>1168.92</v>
      </c>
      <c r="J278" s="18">
        <v>1602.69</v>
      </c>
      <c r="K278" s="18"/>
      <c r="L278" s="19">
        <f>SUM(F278:K278)</f>
        <v>24009.459999999995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2710.2</v>
      </c>
      <c r="I283" s="18">
        <v>1917.26</v>
      </c>
      <c r="J283" s="18"/>
      <c r="K283" s="18"/>
      <c r="L283" s="19">
        <f t="shared" si="12"/>
        <v>4627.46</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612.23</v>
      </c>
      <c r="L284" s="19">
        <f t="shared" si="12"/>
        <v>612.23</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2093</v>
      </c>
      <c r="I288" s="18"/>
      <c r="J288" s="18"/>
      <c r="K288" s="18"/>
      <c r="L288" s="19">
        <f t="shared" si="12"/>
        <v>2093</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12503.63</v>
      </c>
      <c r="G291" s="42">
        <f t="shared" si="13"/>
        <v>1009.22</v>
      </c>
      <c r="H291" s="42">
        <f t="shared" si="13"/>
        <v>12528.2</v>
      </c>
      <c r="I291" s="42">
        <f t="shared" si="13"/>
        <v>3086.1800000000003</v>
      </c>
      <c r="J291" s="42">
        <f t="shared" si="13"/>
        <v>1602.69</v>
      </c>
      <c r="K291" s="42">
        <f t="shared" si="13"/>
        <v>612.23</v>
      </c>
      <c r="L291" s="41">
        <f t="shared" si="13"/>
        <v>31342.149999999994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12503.63</v>
      </c>
      <c r="G339" s="41">
        <f t="shared" si="20"/>
        <v>1009.22</v>
      </c>
      <c r="H339" s="41">
        <f t="shared" si="20"/>
        <v>12528.2</v>
      </c>
      <c r="I339" s="41">
        <f t="shared" si="20"/>
        <v>3086.1800000000003</v>
      </c>
      <c r="J339" s="41">
        <f t="shared" si="20"/>
        <v>1602.69</v>
      </c>
      <c r="K339" s="41">
        <f t="shared" si="20"/>
        <v>612.23</v>
      </c>
      <c r="L339" s="41">
        <f t="shared" si="20"/>
        <v>31342.149999999994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12503.63</v>
      </c>
      <c r="G353" s="41">
        <f>G339</f>
        <v>1009.22</v>
      </c>
      <c r="H353" s="41">
        <f>H339</f>
        <v>12528.2</v>
      </c>
      <c r="I353" s="41">
        <f>I339</f>
        <v>3086.1800000000003</v>
      </c>
      <c r="J353" s="41">
        <f>J339</f>
        <v>1602.69</v>
      </c>
      <c r="K353" s="47">
        <f>K339+K352</f>
        <v>612.23</v>
      </c>
      <c r="L353" s="41">
        <f>L339+L352</f>
        <v>31342.149999999994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555</v>
      </c>
      <c r="G359" s="18"/>
      <c r="H359" s="18"/>
      <c r="I359" s="18">
        <v>1006.35</v>
      </c>
      <c r="J359" s="18"/>
      <c r="K359" s="18"/>
      <c r="L359" s="13">
        <f>SUM(F359:K359)</f>
        <v>1561.35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555</v>
      </c>
      <c r="G363" s="47">
        <f t="shared" si="22"/>
        <v>0</v>
      </c>
      <c r="H363" s="47">
        <f t="shared" si="22"/>
        <v>0</v>
      </c>
      <c r="I363" s="47">
        <f t="shared" si="22"/>
        <v>1006.35</v>
      </c>
      <c r="J363" s="47">
        <f t="shared" si="22"/>
        <v>0</v>
      </c>
      <c r="K363" s="47">
        <f t="shared" si="22"/>
        <v>0</v>
      </c>
      <c r="L363" s="47">
        <f t="shared" si="22"/>
        <v>1561.35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1006.35</v>
      </c>
      <c r="G368" s="18"/>
      <c r="H368" s="18"/>
      <c r="I368" s="56">
        <f>SUM(F368:H368)</f>
        <v>1006.35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1006.35</v>
      </c>
      <c r="G370" s="47">
        <f>SUM(G368:G369)</f>
        <v>0</v>
      </c>
      <c r="H370" s="47">
        <f>SUM(H368:H369)</f>
        <v>0</v>
      </c>
      <c r="I370" s="47">
        <f>SUM(I368:I369)</f>
        <v>1006.35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298.66000000000003</v>
      </c>
      <c r="I390" s="18"/>
      <c r="J390" s="24" t="s">
        <v>288</v>
      </c>
      <c r="K390" s="24" t="s">
        <v>288</v>
      </c>
      <c r="L390" s="56">
        <f t="shared" si="25"/>
        <v>298.66000000000003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298.66000000000003</v>
      </c>
      <c r="I394" s="65">
        <f>SUM(I388:I393)</f>
        <v>0</v>
      </c>
      <c r="J394" s="45" t="s">
        <v>288</v>
      </c>
      <c r="K394" s="45" t="s">
        <v>288</v>
      </c>
      <c r="L394" s="47">
        <f>SUM(L388:L393)</f>
        <v>298.66000000000003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316</v>
      </c>
      <c r="H397" s="18">
        <v>1724.66</v>
      </c>
      <c r="I397" s="18"/>
      <c r="J397" s="24" t="s">
        <v>288</v>
      </c>
      <c r="K397" s="24" t="s">
        <v>288</v>
      </c>
      <c r="L397" s="56">
        <f t="shared" si="26"/>
        <v>2040.66</v>
      </c>
      <c r="M397" s="8"/>
      <c r="N397" s="266"/>
    </row>
    <row r="398" spans="1:14" s="3" customFormat="1" ht="12.2" customHeight="1" x14ac:dyDescent="0.15">
      <c r="A398" s="79" t="s">
        <v>515</v>
      </c>
      <c r="B398" s="2" t="s">
        <v>381</v>
      </c>
      <c r="C398" s="6">
        <v>10</v>
      </c>
      <c r="D398" s="2" t="s">
        <v>432</v>
      </c>
      <c r="E398" s="6"/>
      <c r="F398" s="18"/>
      <c r="G398" s="18">
        <v>25000</v>
      </c>
      <c r="H398" s="18">
        <v>7703.32</v>
      </c>
      <c r="I398" s="18"/>
      <c r="J398" s="24" t="s">
        <v>288</v>
      </c>
      <c r="K398" s="24" t="s">
        <v>288</v>
      </c>
      <c r="L398" s="56">
        <f t="shared" si="26"/>
        <v>32703.32</v>
      </c>
      <c r="M398" s="8"/>
      <c r="N398" s="266"/>
    </row>
    <row r="399" spans="1:14" s="3" customFormat="1" ht="12.2" customHeight="1" x14ac:dyDescent="0.15">
      <c r="A399" s="79" t="s">
        <v>558</v>
      </c>
      <c r="B399" s="2" t="s">
        <v>381</v>
      </c>
      <c r="C399" s="6">
        <v>11</v>
      </c>
      <c r="D399" s="2" t="s">
        <v>432</v>
      </c>
      <c r="E399" s="6"/>
      <c r="F399" s="18"/>
      <c r="G399" s="18">
        <v>15000</v>
      </c>
      <c r="H399" s="18">
        <v>2486.0700000000002</v>
      </c>
      <c r="I399" s="18"/>
      <c r="J399" s="24" t="s">
        <v>288</v>
      </c>
      <c r="K399" s="24" t="s">
        <v>288</v>
      </c>
      <c r="L399" s="56">
        <f t="shared" si="26"/>
        <v>17486.07</v>
      </c>
      <c r="M399" s="8"/>
      <c r="N399" s="266"/>
    </row>
    <row r="400" spans="1:14" s="3" customFormat="1" ht="12.2" customHeight="1" x14ac:dyDescent="0.15">
      <c r="A400" s="79" t="s">
        <v>559</v>
      </c>
      <c r="B400" s="2" t="s">
        <v>381</v>
      </c>
      <c r="C400" s="6">
        <v>12</v>
      </c>
      <c r="D400" s="2" t="s">
        <v>432</v>
      </c>
      <c r="E400" s="6"/>
      <c r="F400" s="18"/>
      <c r="G400" s="18">
        <v>7000</v>
      </c>
      <c r="H400" s="18">
        <v>1319.97</v>
      </c>
      <c r="I400" s="18"/>
      <c r="J400" s="24" t="s">
        <v>288</v>
      </c>
      <c r="K400" s="24" t="s">
        <v>288</v>
      </c>
      <c r="L400" s="56">
        <f t="shared" si="26"/>
        <v>8319.9699999999993</v>
      </c>
      <c r="M400" s="8"/>
      <c r="N400" s="266"/>
    </row>
    <row r="401" spans="1:21" s="3" customFormat="1" ht="12.2" customHeight="1" thickBot="1" x14ac:dyDescent="0.2">
      <c r="A401" s="79" t="s">
        <v>510</v>
      </c>
      <c r="B401" s="2" t="s">
        <v>381</v>
      </c>
      <c r="C401" s="6">
        <v>13</v>
      </c>
      <c r="D401" s="2" t="s">
        <v>432</v>
      </c>
      <c r="E401" s="6"/>
      <c r="F401" s="18"/>
      <c r="G401" s="18">
        <v>25000</v>
      </c>
      <c r="H401" s="18">
        <f>526.27+2965.8</f>
        <v>3492.07</v>
      </c>
      <c r="I401" s="18"/>
      <c r="J401" s="24" t="s">
        <v>288</v>
      </c>
      <c r="K401" s="24" t="s">
        <v>288</v>
      </c>
      <c r="L401" s="56">
        <f t="shared" si="26"/>
        <v>28492.07</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72316</v>
      </c>
      <c r="H402" s="47">
        <f>SUM(H396:H401)</f>
        <v>16726.09</v>
      </c>
      <c r="I402" s="47">
        <f>SUM(I396:I401)</f>
        <v>0</v>
      </c>
      <c r="J402" s="45" t="s">
        <v>288</v>
      </c>
      <c r="K402" s="45" t="s">
        <v>288</v>
      </c>
      <c r="L402" s="47">
        <f>SUM(L396:L401)</f>
        <v>89042.09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72316</v>
      </c>
      <c r="H409" s="47">
        <f>H394+H402+H408</f>
        <v>17024.75</v>
      </c>
      <c r="I409" s="47">
        <f>I394+I402+I408</f>
        <v>0</v>
      </c>
      <c r="J409" s="24" t="s">
        <v>288</v>
      </c>
      <c r="K409" s="24" t="s">
        <v>288</v>
      </c>
      <c r="L409" s="47">
        <f>L394+L402+L408</f>
        <v>89340.75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320862.56</v>
      </c>
      <c r="H441" s="18"/>
      <c r="I441" s="56">
        <f t="shared" si="33"/>
        <v>320862.56</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320862.56</v>
      </c>
      <c r="H447" s="13">
        <f>SUM(H440:H446)</f>
        <v>0</v>
      </c>
      <c r="I447" s="13">
        <f>SUM(I440:I446)</f>
        <v>320862.56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320862.56</v>
      </c>
      <c r="H460" s="18"/>
      <c r="I460" s="56">
        <f t="shared" si="34"/>
        <v>320862.56</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320862.56</v>
      </c>
      <c r="H461" s="83">
        <f>SUM(H455:H460)</f>
        <v>0</v>
      </c>
      <c r="I461" s="83">
        <f>SUM(I455:I460)</f>
        <v>320862.56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320862.56</v>
      </c>
      <c r="H462" s="42">
        <f>H453+H461</f>
        <v>0</v>
      </c>
      <c r="I462" s="42">
        <f>I453+I461</f>
        <v>320862.56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52142.59</v>
      </c>
      <c r="G466" s="18">
        <v>727.87</v>
      </c>
      <c r="H466" s="18">
        <v>0</v>
      </c>
      <c r="I466" s="18"/>
      <c r="J466" s="18">
        <v>231521.81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2421564.79</v>
      </c>
      <c r="G469" s="18">
        <v>2224.71</v>
      </c>
      <c r="H469" s="18">
        <v>31342.15</v>
      </c>
      <c r="I469" s="18"/>
      <c r="J469" s="18">
        <v>89340.75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2421564.79</v>
      </c>
      <c r="G471" s="53">
        <f>SUM(G469:G470)</f>
        <v>2224.71</v>
      </c>
      <c r="H471" s="53">
        <f>SUM(H469:H470)</f>
        <v>31342.15</v>
      </c>
      <c r="I471" s="53">
        <f>SUM(I469:I470)</f>
        <v>0</v>
      </c>
      <c r="J471" s="53">
        <f>SUM(J469:J470)</f>
        <v>89340.75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2402531.39</v>
      </c>
      <c r="G473" s="18">
        <v>1561.35</v>
      </c>
      <c r="H473" s="18">
        <v>31342.15</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2402531.39</v>
      </c>
      <c r="G475" s="53">
        <f>SUM(G473:G474)</f>
        <v>1561.35</v>
      </c>
      <c r="H475" s="53">
        <f>SUM(H473:H474)</f>
        <v>31342.15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71175.989999999758</v>
      </c>
      <c r="G477" s="53">
        <f>(G466+G471)- G475</f>
        <v>1391.23</v>
      </c>
      <c r="H477" s="53">
        <f>(H466+H471)- H475</f>
        <v>0</v>
      </c>
      <c r="I477" s="53">
        <f>(I466+I471)- I475</f>
        <v>0</v>
      </c>
      <c r="J477" s="53">
        <f>(J466+J471)- J475</f>
        <v>320862.56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181733.04+12503.63</f>
        <v>194236.67</v>
      </c>
      <c r="G522" s="18">
        <f>45323.95+7383.73+1009.22</f>
        <v>53716.899999999994</v>
      </c>
      <c r="H522" s="18">
        <f>1019.98+29128.87+670.03</f>
        <v>30818.879999999997</v>
      </c>
      <c r="I522" s="18">
        <f>592.4+1168.92</f>
        <v>1761.3200000000002</v>
      </c>
      <c r="J522" s="18">
        <v>1602.69</v>
      </c>
      <c r="K522" s="18"/>
      <c r="L522" s="88">
        <f>SUM(F522:K522)</f>
        <v>282136.46000000002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194236.67</v>
      </c>
      <c r="G525" s="108">
        <f t="shared" ref="G525:L525" si="36">SUM(G522:G524)</f>
        <v>53716.899999999994</v>
      </c>
      <c r="H525" s="108">
        <f t="shared" si="36"/>
        <v>30818.879999999997</v>
      </c>
      <c r="I525" s="108">
        <f t="shared" si="36"/>
        <v>1761.3200000000002</v>
      </c>
      <c r="J525" s="108">
        <f t="shared" si="36"/>
        <v>1602.69</v>
      </c>
      <c r="K525" s="108">
        <f t="shared" si="36"/>
        <v>0</v>
      </c>
      <c r="L525" s="89">
        <f t="shared" si="36"/>
        <v>282136.46000000002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9321.7800000000007</v>
      </c>
      <c r="G527" s="18">
        <v>762.52</v>
      </c>
      <c r="H527" s="18">
        <f>98920.55+21512.95+7725+2093</f>
        <v>130251.5</v>
      </c>
      <c r="I527" s="18"/>
      <c r="J527" s="18"/>
      <c r="K527" s="18"/>
      <c r="L527" s="88">
        <f>SUM(F527:K527)</f>
        <v>140335.79999999999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9321.7800000000007</v>
      </c>
      <c r="G530" s="89">
        <f t="shared" ref="G530:L530" si="37">SUM(G527:G529)</f>
        <v>762.52</v>
      </c>
      <c r="H530" s="89">
        <f t="shared" si="37"/>
        <v>130251.5</v>
      </c>
      <c r="I530" s="89">
        <f t="shared" si="37"/>
        <v>0</v>
      </c>
      <c r="J530" s="89">
        <f t="shared" si="37"/>
        <v>0</v>
      </c>
      <c r="K530" s="89">
        <f t="shared" si="37"/>
        <v>0</v>
      </c>
      <c r="L530" s="89">
        <f t="shared" si="37"/>
        <v>140335.79999999999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84643+5394</f>
        <v>90037</v>
      </c>
      <c r="G532" s="18">
        <f>24155.89+1421.86</f>
        <v>25577.75</v>
      </c>
      <c r="H532" s="18"/>
      <c r="I532" s="18"/>
      <c r="J532" s="18"/>
      <c r="K532" s="18">
        <f>795+215.33+14.89+256.1+23.99+15.96</f>
        <v>1321.2700000000002</v>
      </c>
      <c r="L532" s="88">
        <f>SUM(F532:K532)</f>
        <v>116936.02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90037</v>
      </c>
      <c r="G535" s="89">
        <f t="shared" ref="G535:L535" si="38">SUM(G532:G534)</f>
        <v>25577.75</v>
      </c>
      <c r="H535" s="89">
        <f t="shared" si="38"/>
        <v>0</v>
      </c>
      <c r="I535" s="89">
        <f t="shared" si="38"/>
        <v>0</v>
      </c>
      <c r="J535" s="89">
        <f t="shared" si="38"/>
        <v>0</v>
      </c>
      <c r="K535" s="89">
        <f t="shared" si="38"/>
        <v>1321.2700000000002</v>
      </c>
      <c r="L535" s="89">
        <f t="shared" si="38"/>
        <v>116936.02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0</v>
      </c>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4329.5</v>
      </c>
      <c r="I542" s="18"/>
      <c r="J542" s="18"/>
      <c r="K542" s="18"/>
      <c r="L542" s="88">
        <f>SUM(F542:K542)</f>
        <v>4329.5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4329.5</v>
      </c>
      <c r="I545" s="193">
        <f t="shared" si="40"/>
        <v>0</v>
      </c>
      <c r="J545" s="193">
        <f t="shared" si="40"/>
        <v>0</v>
      </c>
      <c r="K545" s="193">
        <f t="shared" si="40"/>
        <v>0</v>
      </c>
      <c r="L545" s="193">
        <f t="shared" si="40"/>
        <v>4329.5</v>
      </c>
      <c r="M545" s="8"/>
      <c r="N545" s="266"/>
    </row>
    <row r="546" spans="1:14" s="3" customFormat="1" ht="12.2" customHeight="1" thickTop="1" x14ac:dyDescent="0.15">
      <c r="A546" s="98" t="s">
        <v>72</v>
      </c>
      <c r="B546" s="107">
        <v>21</v>
      </c>
      <c r="C546" s="107">
        <v>21</v>
      </c>
      <c r="D546" s="158" t="s">
        <v>432</v>
      </c>
      <c r="E546" s="107"/>
      <c r="F546" s="89">
        <f>F525+F530+F535+F540+F545</f>
        <v>293595.45</v>
      </c>
      <c r="G546" s="89">
        <f t="shared" ref="G546:L546" si="41">G525+G530+G535+G540+G545</f>
        <v>80057.169999999984</v>
      </c>
      <c r="H546" s="89">
        <f t="shared" si="41"/>
        <v>165399.88</v>
      </c>
      <c r="I546" s="89">
        <f t="shared" si="41"/>
        <v>1761.3200000000002</v>
      </c>
      <c r="J546" s="89">
        <f t="shared" si="41"/>
        <v>1602.69</v>
      </c>
      <c r="K546" s="89">
        <f t="shared" si="41"/>
        <v>1321.2700000000002</v>
      </c>
      <c r="L546" s="89">
        <f t="shared" si="41"/>
        <v>543737.78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282136.46000000002</v>
      </c>
      <c r="G550" s="87">
        <f>L527</f>
        <v>140335.79999999999</v>
      </c>
      <c r="H550" s="87">
        <f>L532</f>
        <v>116936.02</v>
      </c>
      <c r="I550" s="87">
        <f>L537</f>
        <v>0</v>
      </c>
      <c r="J550" s="87">
        <f>L542</f>
        <v>4329.5</v>
      </c>
      <c r="K550" s="87">
        <f>SUM(F550:J550)</f>
        <v>543737.78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282136.46000000002</v>
      </c>
      <c r="G553" s="89">
        <f t="shared" si="42"/>
        <v>140335.79999999999</v>
      </c>
      <c r="H553" s="89">
        <f t="shared" si="42"/>
        <v>116936.02</v>
      </c>
      <c r="I553" s="89">
        <f t="shared" si="42"/>
        <v>0</v>
      </c>
      <c r="J553" s="89">
        <f t="shared" si="42"/>
        <v>4329.5</v>
      </c>
      <c r="K553" s="89">
        <f t="shared" si="42"/>
        <v>543737.78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408097.83</v>
      </c>
      <c r="I577" s="87">
        <f t="shared" ref="I577:I588" si="47">SUM(F577:H577)</f>
        <v>408097.83</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18202</v>
      </c>
      <c r="G580" s="18"/>
      <c r="H580" s="18"/>
      <c r="I580" s="87">
        <f t="shared" si="47"/>
        <v>18202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10926.87</v>
      </c>
      <c r="G583" s="18"/>
      <c r="H583" s="18"/>
      <c r="I583" s="87">
        <f t="shared" si="47"/>
        <v>10926.87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48978.93</v>
      </c>
      <c r="I592" s="18"/>
      <c r="J592" s="18"/>
      <c r="K592" s="104">
        <f t="shared" ref="K592:K598" si="48">SUM(H592:J592)</f>
        <v>48978.93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4329.5</v>
      </c>
      <c r="I593" s="18"/>
      <c r="J593" s="18"/>
      <c r="K593" s="104">
        <f t="shared" si="48"/>
        <v>4329.5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1291.07</v>
      </c>
      <c r="I595" s="18"/>
      <c r="J595" s="18"/>
      <c r="K595" s="104">
        <f t="shared" si="48"/>
        <v>1291.07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278.35000000000002</v>
      </c>
      <c r="I596" s="18"/>
      <c r="J596" s="18"/>
      <c r="K596" s="104">
        <f t="shared" si="48"/>
        <v>278.35000000000002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54877.85</v>
      </c>
      <c r="I599" s="108">
        <f>SUM(I592:I598)</f>
        <v>0</v>
      </c>
      <c r="J599" s="108">
        <f>SUM(J592:J598)</f>
        <v>0</v>
      </c>
      <c r="K599" s="108">
        <f>SUM(K592:K598)</f>
        <v>54877.85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3238.76+1165.71+2358+2529.94</f>
        <v>9292.41</v>
      </c>
      <c r="I605" s="18"/>
      <c r="J605" s="18"/>
      <c r="K605" s="104">
        <f>SUM(H605:J605)</f>
        <v>9292.41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9292.41</v>
      </c>
      <c r="I606" s="108">
        <f>SUM(I603:I605)</f>
        <v>0</v>
      </c>
      <c r="J606" s="108">
        <f>SUM(J603:J605)</f>
        <v>0</v>
      </c>
      <c r="K606" s="108">
        <f>SUM(K603:K605)</f>
        <v>9292.41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78391.300000000017</v>
      </c>
      <c r="H618" s="109">
        <f>SUM(F52)</f>
        <v>78391.299999999988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1391.23</v>
      </c>
      <c r="H619" s="109">
        <f>SUM(G52)</f>
        <v>1391.23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4010.02</v>
      </c>
      <c r="H620" s="109">
        <f>SUM(H52)</f>
        <v>4010.02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320862.56</v>
      </c>
      <c r="H622" s="109">
        <f>SUM(J52)</f>
        <v>320862.56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71175.989999999991</v>
      </c>
      <c r="H623" s="109">
        <f>F477</f>
        <v>71175.989999999758</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1391.23</v>
      </c>
      <c r="H624" s="109">
        <f>G477</f>
        <v>1391.23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320862.56</v>
      </c>
      <c r="H627" s="109">
        <f>J477</f>
        <v>320862.56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2421564.7899999996</v>
      </c>
      <c r="H628" s="104">
        <f>SUM(F469)</f>
        <v>2421564.79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2224.71</v>
      </c>
      <c r="H629" s="104">
        <f>SUM(G469)</f>
        <v>2224.71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31342.15</v>
      </c>
      <c r="H630" s="104">
        <f>SUM(H469)</f>
        <v>31342.15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89340.75</v>
      </c>
      <c r="H632" s="104">
        <f>SUM(J469)</f>
        <v>89340.75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2402531.3899999997</v>
      </c>
      <c r="H633" s="104">
        <f>SUM(F473)</f>
        <v>2402531.39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31342.149999999994</v>
      </c>
      <c r="H634" s="104">
        <f>SUM(H473)</f>
        <v>31342.15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1006.35</v>
      </c>
      <c r="H635" s="104">
        <f>I370</f>
        <v>1006.35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1561.35</v>
      </c>
      <c r="H636" s="104">
        <f>SUM(G473)</f>
        <v>1561.35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89340.75</v>
      </c>
      <c r="H638" s="164">
        <f>SUM(J469)</f>
        <v>89340.75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320862.56</v>
      </c>
      <c r="H641" s="104">
        <f>SUM(G462)</f>
        <v>320862.56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320862.56</v>
      </c>
      <c r="H643" s="104">
        <f>SUM(I462)</f>
        <v>320862.56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17024.75</v>
      </c>
      <c r="H645" s="104">
        <f>H409</f>
        <v>17024.75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72316</v>
      </c>
      <c r="H646" s="104">
        <f>G409</f>
        <v>72316</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89340.75</v>
      </c>
      <c r="H647" s="104">
        <f>L409</f>
        <v>89340.75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54877.85</v>
      </c>
      <c r="H648" s="104">
        <f>L209+L227+L245</f>
        <v>54877.85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9292.41</v>
      </c>
      <c r="H649" s="104">
        <f>(J258+J339)-(J256+J337)</f>
        <v>9292.41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54877.85</v>
      </c>
      <c r="H650" s="104">
        <f>H599</f>
        <v>54877.85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72316</v>
      </c>
      <c r="H656" s="104">
        <f>K267+K348</f>
        <v>72316</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1955021.0599999998</v>
      </c>
      <c r="G661" s="19">
        <f>(L230+L310+L360)</f>
        <v>0</v>
      </c>
      <c r="H661" s="19">
        <f>(L248+L329+L361)</f>
        <v>408097.83</v>
      </c>
      <c r="I661" s="19">
        <f>SUM(F661:H661)</f>
        <v>2363118.8899999997</v>
      </c>
      <c r="J661" s="13"/>
      <c r="K661" s="13"/>
      <c r="L661" s="13"/>
      <c r="M661" s="9"/>
    </row>
    <row r="662" spans="1:13" s="3" customFormat="1" ht="12.2" customHeight="1" x14ac:dyDescent="0.2">
      <c r="A662" s="1" t="s">
        <v>127</v>
      </c>
      <c r="F662" s="19">
        <f>(L359/IF(SUM(L359:L361)=0,1,SUM(L359:L361))*(SUM(G97:G110)))</f>
        <v>1319.75</v>
      </c>
      <c r="G662" s="19">
        <f>(L360/IF(SUM(L359:L361)=0,1,SUM(L359:L361))*(SUM(G97:G110)))</f>
        <v>0</v>
      </c>
      <c r="H662" s="19">
        <f>(L361/IF(SUM(L359:L361)=0,1,SUM(L359:L361))*(SUM(G97:G110)))</f>
        <v>0</v>
      </c>
      <c r="I662" s="19">
        <f>SUM(F662:H662)</f>
        <v>1319.75</v>
      </c>
      <c r="J662"/>
      <c r="K662" s="13"/>
      <c r="L662" s="13"/>
      <c r="M662" s="8"/>
    </row>
    <row r="663" spans="1:13" s="3" customFormat="1" ht="12.2" customHeight="1" x14ac:dyDescent="0.2">
      <c r="A663" s="1" t="s">
        <v>128</v>
      </c>
      <c r="F663" s="19">
        <f>(L209+L288)-(J209+J288)</f>
        <v>56970.85</v>
      </c>
      <c r="G663" s="19">
        <f>(L227+L307)-(J227+J307)</f>
        <v>0</v>
      </c>
      <c r="H663" s="19">
        <f>(L245+L326)-(J245+J326)</f>
        <v>0</v>
      </c>
      <c r="I663" s="19">
        <f>SUM(F663:H663)</f>
        <v>56970.85</v>
      </c>
      <c r="J663"/>
      <c r="K663" s="13"/>
      <c r="L663" s="13"/>
      <c r="M663" s="9"/>
    </row>
    <row r="664" spans="1:13" s="3" customFormat="1" ht="12.2" customHeight="1" x14ac:dyDescent="0.15">
      <c r="A664" s="198" t="s">
        <v>129</v>
      </c>
      <c r="B664" s="169"/>
      <c r="C664" s="169"/>
      <c r="D664" s="169"/>
      <c r="E664" s="169"/>
      <c r="F664" s="199">
        <f>SUM(F576:F588)+SUM(H603:H605)+SUM(L612)</f>
        <v>38421.279999999999</v>
      </c>
      <c r="G664" s="199">
        <f>SUM(G576:G588)+SUM(I603:I605)+L613</f>
        <v>0</v>
      </c>
      <c r="H664" s="199">
        <f>SUM(H576:H588)+SUM(J603:J605)+L614</f>
        <v>408097.83</v>
      </c>
      <c r="I664" s="19">
        <f>SUM(F664:H664)</f>
        <v>446519.11</v>
      </c>
      <c r="J664" s="13"/>
      <c r="K664" s="13"/>
      <c r="L664" s="13"/>
      <c r="M664" s="9"/>
    </row>
    <row r="665" spans="1:13" s="3" customFormat="1" ht="12.2" customHeight="1" x14ac:dyDescent="0.15">
      <c r="A665" s="1" t="s">
        <v>130</v>
      </c>
      <c r="F665" s="19">
        <f>F661-SUM(F662:F664)</f>
        <v>1858309.1799999997</v>
      </c>
      <c r="G665" s="19">
        <f>G661-SUM(G662:G664)</f>
        <v>0</v>
      </c>
      <c r="H665" s="19">
        <f>H661-SUM(H662:H664)</f>
        <v>0</v>
      </c>
      <c r="I665" s="19">
        <f>I661-SUM(I662:I664)</f>
        <v>1858309.1799999997</v>
      </c>
      <c r="J665" s="13"/>
      <c r="K665" s="13"/>
      <c r="L665" s="13"/>
      <c r="M665" s="8"/>
    </row>
    <row r="666" spans="1:13" s="3" customFormat="1" ht="12.2" customHeight="1" x14ac:dyDescent="0.2">
      <c r="A666" s="1" t="s">
        <v>131</v>
      </c>
      <c r="F666" s="246">
        <v>79.5</v>
      </c>
      <c r="G666" s="247"/>
      <c r="H666" s="247"/>
      <c r="I666" s="19">
        <f>SUM(F666:H666)</f>
        <v>79.5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23374.959999999999</v>
      </c>
      <c r="G668" s="19" t="e">
        <f>ROUND(G665/G666,2)</f>
        <v>#DIV/0!</v>
      </c>
      <c r="H668" s="19" t="e">
        <f>ROUND(H665/H666,2)</f>
        <v>#DIV/0!</v>
      </c>
      <c r="I668" s="19">
        <f>ROUND(I665/I666,2)</f>
        <v>23374.959999999999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23374.959999999999</v>
      </c>
      <c r="G673" s="19" t="e">
        <f>ROUND((G665+G670)/(G666+G671),2)</f>
        <v>#DIV/0!</v>
      </c>
      <c r="H673" s="19" t="e">
        <f>ROUND((H665+H670)/(H666+H671),2)</f>
        <v>#DIV/0!</v>
      </c>
      <c r="I673" s="19">
        <f>ROUND((I665+I670)/(I666+I671),2)</f>
        <v>23374.959999999999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SOUTH HAMPTON</v>
      </c>
      <c r="C5" s="344"/>
      <c r="D5" s="344"/>
      <c r="E5" s="344"/>
      <c r="F5" s="344"/>
    </row>
    <row r="8" spans="1:9" ht="18" x14ac:dyDescent="0.25">
      <c r="A8" s="323" t="s">
        <v>1591</v>
      </c>
      <c r="F8" s="330" t="s">
        <v>1609</v>
      </c>
    </row>
    <row r="9" spans="1:9" ht="15" x14ac:dyDescent="0.2">
      <c r="A9" s="321" t="s">
        <v>1592</v>
      </c>
      <c r="B9" s="324">
        <f>'DOE25'!G97</f>
        <v>1319.75</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904.96</v>
      </c>
      <c r="F12" s="321" t="s">
        <v>1608</v>
      </c>
    </row>
    <row r="13" spans="1:9" ht="15" x14ac:dyDescent="0.2">
      <c r="A13" s="321" t="s">
        <v>1596</v>
      </c>
      <c r="B13" s="324">
        <f>'DOE25'!G193-'DOE25'!G180</f>
        <v>0</v>
      </c>
      <c r="F13" s="321" t="s">
        <v>1618</v>
      </c>
    </row>
    <row r="14" spans="1:9" ht="18" x14ac:dyDescent="0.25">
      <c r="A14" s="323" t="s">
        <v>732</v>
      </c>
      <c r="B14" s="325">
        <f>SUM(B9:B13)</f>
        <v>2224.71</v>
      </c>
    </row>
    <row r="16" spans="1:9" ht="18" x14ac:dyDescent="0.25">
      <c r="A16" s="323" t="s">
        <v>786</v>
      </c>
      <c r="F16" s="330" t="s">
        <v>1610</v>
      </c>
    </row>
    <row r="17" spans="1:6" ht="15" x14ac:dyDescent="0.2">
      <c r="A17" s="321" t="s">
        <v>1597</v>
      </c>
      <c r="B17" s="324">
        <f>'DOE25'!L363-'DOE25'!L362</f>
        <v>1561.35</v>
      </c>
      <c r="F17" s="321" t="s">
        <v>1611</v>
      </c>
    </row>
    <row r="18" spans="1:6" ht="15" x14ac:dyDescent="0.2">
      <c r="A18" s="321" t="s">
        <v>1598</v>
      </c>
      <c r="B18" s="338"/>
      <c r="F18" s="330" t="s">
        <v>1637</v>
      </c>
    </row>
    <row r="19" spans="1:6" ht="18" x14ac:dyDescent="0.25">
      <c r="A19" s="323" t="s">
        <v>725</v>
      </c>
      <c r="B19" s="325">
        <f>SUM(B17:B18)</f>
        <v>1561.35</v>
      </c>
    </row>
    <row r="21" spans="1:6" ht="18.75" thickBot="1" x14ac:dyDescent="0.3">
      <c r="A21" s="323" t="s">
        <v>1599</v>
      </c>
    </row>
    <row r="22" spans="1:6" ht="18.75" thickTop="1" x14ac:dyDescent="0.25">
      <c r="A22" s="323" t="s">
        <v>1600</v>
      </c>
      <c r="B22" s="329">
        <f>B14-B19</f>
        <v>663.36000000000013</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727.87</v>
      </c>
      <c r="F31" s="321" t="s">
        <v>1615</v>
      </c>
    </row>
    <row r="33" spans="1:6" ht="15" x14ac:dyDescent="0.2">
      <c r="A33" s="321" t="s">
        <v>1641</v>
      </c>
      <c r="B33" s="324">
        <f>'DOE25'!G477</f>
        <v>1391.23</v>
      </c>
      <c r="F33" s="321" t="s">
        <v>1616</v>
      </c>
    </row>
    <row r="36" spans="1:6" ht="15" x14ac:dyDescent="0.2">
      <c r="A36" s="321" t="s">
        <v>1602</v>
      </c>
      <c r="B36" s="341">
        <v>0</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SOUTH HAMPTON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539240.81999999995</v>
      </c>
      <c r="C9" s="229">
        <f>'DOE25'!G198+'DOE25'!G216+'DOE25'!G234+'DOE25'!G277+'DOE25'!G296+'DOE25'!G315</f>
        <v>200741.82</v>
      </c>
    </row>
    <row r="10" spans="1:3" x14ac:dyDescent="0.2">
      <c r="A10" t="s">
        <v>775</v>
      </c>
      <c r="B10" s="240">
        <f>471137.78+3187.47+4346.53</f>
        <v>478671.78</v>
      </c>
      <c r="C10" s="240">
        <f>774.39+194852.28+0.02</f>
        <v>195626.69</v>
      </c>
    </row>
    <row r="11" spans="1:3" x14ac:dyDescent="0.2">
      <c r="A11" t="s">
        <v>776</v>
      </c>
      <c r="B11" s="240">
        <f>43029.1</f>
        <v>43029.1</v>
      </c>
      <c r="C11" s="240">
        <v>3759.29</v>
      </c>
    </row>
    <row r="12" spans="1:3" x14ac:dyDescent="0.2">
      <c r="A12" t="s">
        <v>777</v>
      </c>
      <c r="B12" s="240">
        <f>17539.94</f>
        <v>17539.939999999999</v>
      </c>
      <c r="C12" s="240">
        <v>1355.84</v>
      </c>
    </row>
    <row r="13" spans="1:3" x14ac:dyDescent="0.2">
      <c r="A13" t="str">
        <f>IF(B9=B13,IF(C9=C13,"Check Total OK","Check Total Error"),"Check Total Error")</f>
        <v>Check Total OK</v>
      </c>
      <c r="B13" s="231">
        <f>SUM(B10:B12)</f>
        <v>539240.81999999995</v>
      </c>
      <c r="C13" s="231">
        <f>SUM(C10:C12)</f>
        <v>200741.82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293595.45</v>
      </c>
      <c r="C18" s="229">
        <f>'DOE25'!G199+'DOE25'!G217+'DOE25'!G235+'DOE25'!G278+'DOE25'!G297+'DOE25'!G316</f>
        <v>80057.180000000008</v>
      </c>
    </row>
    <row r="19" spans="1:3" x14ac:dyDescent="0.2">
      <c r="A19" t="s">
        <v>775</v>
      </c>
      <c r="B19" s="240">
        <f>96806.26</f>
        <v>96806.26</v>
      </c>
      <c r="C19" s="240">
        <v>45323.95</v>
      </c>
    </row>
    <row r="20" spans="1:3" x14ac:dyDescent="0.2">
      <c r="A20" t="s">
        <v>776</v>
      </c>
      <c r="B20" s="240">
        <f>84926.78+12503.63</f>
        <v>97430.41</v>
      </c>
      <c r="C20" s="240">
        <f>1009.22+7383.73</f>
        <v>8392.9499999999989</v>
      </c>
    </row>
    <row r="21" spans="1:3" x14ac:dyDescent="0.2">
      <c r="A21" t="s">
        <v>777</v>
      </c>
      <c r="B21" s="240">
        <f>84643+5394+9321.78</f>
        <v>99358.78</v>
      </c>
      <c r="C21" s="240">
        <f>24155.89+1421.86+762.52+0.01</f>
        <v>26340.28</v>
      </c>
    </row>
    <row r="22" spans="1:3" x14ac:dyDescent="0.2">
      <c r="A22" t="str">
        <f>IF(B18=B22,IF(C18=C22,"Check Total OK","Check Total Error"),"Check Total Error")</f>
        <v>Check Total OK</v>
      </c>
      <c r="B22" s="231">
        <f>SUM(B19:B21)</f>
        <v>293595.44999999995</v>
      </c>
      <c r="C22" s="231">
        <f>SUM(C19:C21)</f>
        <v>80057.179999999993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6346</v>
      </c>
      <c r="C36" s="235">
        <f>'DOE25'!G201+'DOE25'!G219+'DOE25'!G237+'DOE25'!G280+'DOE25'!G299+'DOE25'!G318</f>
        <v>519.1</v>
      </c>
    </row>
    <row r="37" spans="1:3" x14ac:dyDescent="0.2">
      <c r="A37" t="s">
        <v>775</v>
      </c>
      <c r="B37" s="240"/>
      <c r="C37" s="240"/>
    </row>
    <row r="38" spans="1:3" x14ac:dyDescent="0.2">
      <c r="A38" t="s">
        <v>776</v>
      </c>
      <c r="B38" s="240"/>
      <c r="C38" s="240"/>
    </row>
    <row r="39" spans="1:3" x14ac:dyDescent="0.2">
      <c r="A39" t="s">
        <v>777</v>
      </c>
      <c r="B39" s="240">
        <v>6346</v>
      </c>
      <c r="C39" s="240">
        <v>519.1</v>
      </c>
    </row>
    <row r="40" spans="1:3" x14ac:dyDescent="0.2">
      <c r="A40" t="str">
        <f>IF(B36=B40,IF(C36=C40,"Check Total OK","Check Total Error"),"Check Total Error")</f>
        <v>Check Total OK</v>
      </c>
      <c r="B40" s="231">
        <f>SUM(B37:B39)</f>
        <v>6346</v>
      </c>
      <c r="C40" s="231">
        <f>SUM(C37:C39)</f>
        <v>519.1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SOUTH HAMPTON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1699162.46</v>
      </c>
      <c r="D5" s="20">
        <f>SUM('DOE25'!L198:L201)+SUM('DOE25'!L216:L219)+SUM('DOE25'!L234:L237)-F5-G5-H5</f>
        <v>1692034.81</v>
      </c>
      <c r="E5" s="243"/>
      <c r="F5" s="244"/>
      <c r="G5" s="53">
        <f>SUM('DOE25'!J198:J201)+SUM('DOE25'!J216:J219)+SUM('DOE25'!J234:J237)</f>
        <v>6053.65</v>
      </c>
      <c r="H5" s="53">
        <f>SUM('DOE25'!K198:K201)+SUM('DOE25'!K216:K219)+SUM('DOE25'!K234:K237)</f>
        <v>1074</v>
      </c>
      <c r="I5" s="256"/>
    </row>
    <row r="6" spans="1:9" x14ac:dyDescent="0.2">
      <c r="A6" s="32">
        <v>2100</v>
      </c>
      <c r="B6" t="s">
        <v>796</v>
      </c>
      <c r="C6" s="276">
        <f t="shared" si="0"/>
        <v>108708.98000000001</v>
      </c>
      <c r="D6" s="20">
        <f>'DOE25'!L203+'DOE25'!L221+'DOE25'!L239-F6-G6-H6</f>
        <v>108601.88</v>
      </c>
      <c r="E6" s="243"/>
      <c r="F6" s="244"/>
      <c r="G6" s="53">
        <f>'DOE25'!J203+'DOE25'!J221+'DOE25'!J239</f>
        <v>107.1</v>
      </c>
      <c r="H6" s="53">
        <f>'DOE25'!K203+'DOE25'!K221+'DOE25'!K239</f>
        <v>0</v>
      </c>
      <c r="I6" s="256"/>
    </row>
    <row r="7" spans="1:9" x14ac:dyDescent="0.2">
      <c r="A7" s="32">
        <v>2200</v>
      </c>
      <c r="B7" t="s">
        <v>821</v>
      </c>
      <c r="C7" s="276">
        <f t="shared" si="0"/>
        <v>55590.619999999995</v>
      </c>
      <c r="D7" s="20">
        <f>'DOE25'!L204+'DOE25'!L222+'DOE25'!L240-F7-G7-H7</f>
        <v>54828.619999999995</v>
      </c>
      <c r="E7" s="243"/>
      <c r="F7" s="244"/>
      <c r="G7" s="53">
        <f>'DOE25'!J204+'DOE25'!J222+'DOE25'!J240</f>
        <v>762</v>
      </c>
      <c r="H7" s="53">
        <f>'DOE25'!K204+'DOE25'!K222+'DOE25'!K240</f>
        <v>0</v>
      </c>
      <c r="I7" s="256"/>
    </row>
    <row r="8" spans="1:9" x14ac:dyDescent="0.2">
      <c r="A8" s="32">
        <v>2300</v>
      </c>
      <c r="B8" t="s">
        <v>797</v>
      </c>
      <c r="C8" s="276">
        <f t="shared" si="0"/>
        <v>42400.360000000008</v>
      </c>
      <c r="D8" s="243"/>
      <c r="E8" s="20">
        <f>'DOE25'!L205+'DOE25'!L223+'DOE25'!L241-F8-G8-H8-D9-D11</f>
        <v>39231.180000000008</v>
      </c>
      <c r="F8" s="244"/>
      <c r="G8" s="53">
        <f>'DOE25'!J205+'DOE25'!J223+'DOE25'!J241</f>
        <v>0</v>
      </c>
      <c r="H8" s="53">
        <f>'DOE25'!K205+'DOE25'!K223+'DOE25'!K241</f>
        <v>3169.18</v>
      </c>
      <c r="I8" s="256"/>
    </row>
    <row r="9" spans="1:9" ht="14.25" x14ac:dyDescent="0.2">
      <c r="A9" s="32">
        <v>2310</v>
      </c>
      <c r="B9" s="185" t="s">
        <v>890</v>
      </c>
      <c r="C9" s="276">
        <f t="shared" si="0"/>
        <v>22351.18</v>
      </c>
      <c r="D9" s="244">
        <v>22351.18</v>
      </c>
      <c r="E9" s="243"/>
      <c r="F9" s="253"/>
      <c r="G9" s="253"/>
      <c r="H9" s="253"/>
      <c r="I9" s="256"/>
    </row>
    <row r="10" spans="1:9" ht="14.25" x14ac:dyDescent="0.2">
      <c r="A10" s="32">
        <v>2317</v>
      </c>
      <c r="B10" s="185" t="s">
        <v>891</v>
      </c>
      <c r="C10" s="276">
        <f t="shared" si="0"/>
        <v>7150</v>
      </c>
      <c r="D10" s="243"/>
      <c r="E10" s="244">
        <v>7150</v>
      </c>
      <c r="F10" s="253"/>
      <c r="G10" s="253"/>
      <c r="H10" s="253"/>
      <c r="I10" s="256"/>
    </row>
    <row r="11" spans="1:9" ht="14.25" x14ac:dyDescent="0.2">
      <c r="A11" s="32">
        <v>2321</v>
      </c>
      <c r="B11" s="185" t="s">
        <v>892</v>
      </c>
      <c r="C11" s="276">
        <f t="shared" si="0"/>
        <v>14536.49</v>
      </c>
      <c r="D11" s="244">
        <v>14536.49</v>
      </c>
      <c r="E11" s="243"/>
      <c r="F11" s="253"/>
      <c r="G11" s="253"/>
      <c r="H11" s="253"/>
      <c r="I11" s="256"/>
    </row>
    <row r="12" spans="1:9" x14ac:dyDescent="0.2">
      <c r="A12" s="32">
        <v>2400</v>
      </c>
      <c r="B12" t="s">
        <v>711</v>
      </c>
      <c r="C12" s="276">
        <f t="shared" si="0"/>
        <v>197138.87999999998</v>
      </c>
      <c r="D12" s="20">
        <f>'DOE25'!L206+'DOE25'!L224+'DOE25'!L242-F12-G12-H12</f>
        <v>196164.87999999998</v>
      </c>
      <c r="E12" s="243"/>
      <c r="F12" s="244"/>
      <c r="G12" s="53">
        <f>'DOE25'!J206+'DOE25'!J224+'DOE25'!J242</f>
        <v>0</v>
      </c>
      <c r="H12" s="53">
        <f>'DOE25'!K206+'DOE25'!K224+'DOE25'!K242</f>
        <v>974</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133441.37</v>
      </c>
      <c r="D14" s="20">
        <f>'DOE25'!L208+'DOE25'!L226+'DOE25'!L244-F14-G14-H14</f>
        <v>132674.4</v>
      </c>
      <c r="E14" s="243"/>
      <c r="F14" s="244"/>
      <c r="G14" s="53">
        <f>'DOE25'!J208+'DOE25'!J226+'DOE25'!J244</f>
        <v>766.97</v>
      </c>
      <c r="H14" s="53">
        <f>'DOE25'!K208+'DOE25'!K226+'DOE25'!K244</f>
        <v>0</v>
      </c>
      <c r="I14" s="256"/>
    </row>
    <row r="15" spans="1:9" x14ac:dyDescent="0.2">
      <c r="A15" s="32">
        <v>2700</v>
      </c>
      <c r="B15" t="s">
        <v>799</v>
      </c>
      <c r="C15" s="276">
        <f t="shared" si="0"/>
        <v>54877.85</v>
      </c>
      <c r="D15" s="20">
        <f>'DOE25'!L209+'DOE25'!L227+'DOE25'!L245-F15-G15-H15</f>
        <v>5898.9199999999983</v>
      </c>
      <c r="E15" s="243"/>
      <c r="F15" s="244">
        <v>48978.93</v>
      </c>
      <c r="G15" s="53">
        <f>'DOE25'!J209+'DOE25'!J227+'DOE25'!J245</f>
        <v>0</v>
      </c>
      <c r="H15" s="53">
        <f>'DOE25'!K209+'DOE25'!K227+'DOE25'!K245</f>
        <v>0</v>
      </c>
      <c r="I15" s="256"/>
    </row>
    <row r="16" spans="1:9" x14ac:dyDescent="0.2">
      <c r="A16" s="32">
        <v>2800</v>
      </c>
      <c r="B16" t="s">
        <v>800</v>
      </c>
      <c r="C16" s="276">
        <f t="shared" si="0"/>
        <v>2007.2</v>
      </c>
      <c r="D16" s="243"/>
      <c r="E16" s="20">
        <f>'DOE25'!L210+'DOE25'!L228+'DOE25'!L246-F16-G16-H16</f>
        <v>1849.2</v>
      </c>
      <c r="F16" s="244"/>
      <c r="G16" s="53">
        <f>'DOE25'!J210+'DOE25'!J228+'DOE25'!J246</f>
        <v>0</v>
      </c>
      <c r="H16" s="53">
        <f>'DOE25'!K210+'DOE25'!K228+'DOE25'!K246</f>
        <v>158</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554.99999999999989</v>
      </c>
      <c r="D29" s="284">
        <f>'DOE25'!L359+'DOE25'!L360+'DOE25'!L361-'DOE25'!I368-F29-G29-H29</f>
        <v>554.99999999999989</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31342.149999999994</v>
      </c>
      <c r="D31" s="20">
        <f>'DOE25'!L291+'DOE25'!L310+'DOE25'!L329+'DOE25'!L334+'DOE25'!L335+'DOE25'!L336-F31-G31-H31</f>
        <v>29127.229999999996</v>
      </c>
      <c r="E31" s="243"/>
      <c r="F31" s="244"/>
      <c r="G31" s="53">
        <f>'DOE25'!J291+'DOE25'!J310+'DOE25'!J329+'DOE25'!J334+'DOE25'!J335+'DOE25'!J336</f>
        <v>1602.69</v>
      </c>
      <c r="H31" s="53">
        <f>'DOE25'!K291+'DOE25'!K310+'DOE25'!K329+'DOE25'!K334+'DOE25'!K335+'DOE25'!K336</f>
        <v>612.23</v>
      </c>
      <c r="I31" s="256"/>
    </row>
    <row r="32" spans="1:9" ht="12" thickBot="1" x14ac:dyDescent="0.25">
      <c r="C32" s="277"/>
      <c r="G32" s="251"/>
      <c r="H32" s="251"/>
      <c r="I32" s="258"/>
    </row>
    <row r="33" spans="1:9" ht="12" thickTop="1" x14ac:dyDescent="0.2">
      <c r="B33" t="s">
        <v>809</v>
      </c>
      <c r="D33" s="245">
        <f t="shared" ref="D33:I33" si="1">SUM(D5:D31)</f>
        <v>2256773.4099999997</v>
      </c>
      <c r="E33" s="245">
        <f t="shared" si="1"/>
        <v>48230.380000000005</v>
      </c>
      <c r="F33" s="245">
        <f t="shared" si="1"/>
        <v>48978.93</v>
      </c>
      <c r="G33" s="245">
        <f t="shared" si="1"/>
        <v>9292.41</v>
      </c>
      <c r="H33" s="245">
        <f t="shared" si="1"/>
        <v>5987.41</v>
      </c>
      <c r="I33" s="245">
        <f t="shared" si="1"/>
        <v>0</v>
      </c>
    </row>
    <row r="35" spans="1:9" ht="12" thickBot="1" x14ac:dyDescent="0.25">
      <c r="B35" s="251" t="s">
        <v>831</v>
      </c>
      <c r="D35" s="252">
        <f>E33</f>
        <v>48230.380000000005</v>
      </c>
      <c r="E35" s="248"/>
    </row>
    <row r="36" spans="1:9" ht="12" thickTop="1" x14ac:dyDescent="0.2">
      <c r="B36" t="s">
        <v>810</v>
      </c>
      <c r="D36" s="20">
        <f>D33</f>
        <v>2256773.4099999997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SOUTH HAMPTON</v>
      </c>
      <c r="B2" s="126">
        <f>'DOE25'!B2</f>
        <v>495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1953459.71</v>
      </c>
      <c r="G4" s="303">
        <f>'DOE25'!L212+'DOE25'!L291</f>
        <v>1953459.7099999997</v>
      </c>
      <c r="H4" s="337">
        <f>F4-G4</f>
        <v>0</v>
      </c>
      <c r="I4" s="309" t="str">
        <f>IF(H4=0,"","Does not match DOE25 page 7 and 11 Totals!!")</f>
        <v/>
      </c>
      <c r="N4"/>
    </row>
    <row r="5" spans="1:18" x14ac:dyDescent="0.2">
      <c r="A5" s="21" t="s">
        <v>1429</v>
      </c>
      <c r="B5" s="304">
        <f>IFERROR(VLOOKUP(A5,'School Tables'!$C$3:$D$365,2,FALSE),"")</f>
        <v>20815</v>
      </c>
      <c r="C5" s="297" t="str">
        <f>IFERROR(INDEX('School Tables'!$B$3:$B$365,MATCH('School Level Expenditures'!B5,'School Tables'!$D$3:$D$365,0)),"")</f>
        <v>South Hampton</v>
      </c>
      <c r="D5" s="294">
        <f>1883385.23+20530.33</f>
        <v>1903915.56</v>
      </c>
      <c r="E5" s="294">
        <v>31342.15</v>
      </c>
      <c r="F5" s="312">
        <f>D5+E5</f>
        <v>1935257.71</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18202</v>
      </c>
      <c r="E6" s="294"/>
      <c r="F6" s="307">
        <f t="shared" ref="F6:F20" si="0">D6+E6</f>
        <v>18202</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408097.83</v>
      </c>
      <c r="G36" s="303">
        <f>'DOE25'!L248+'DOE25'!L329</f>
        <v>408097.83</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408097.83</v>
      </c>
      <c r="E37" s="294"/>
      <c r="F37" s="307">
        <f>D37+E37</f>
        <v>408097.83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SOUTH 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63354.66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320862.56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2621.19</v>
      </c>
      <c r="D11" s="95">
        <f>'DOE25'!G12</f>
        <v>1391.23</v>
      </c>
      <c r="E11" s="95">
        <f>'DOE25'!H12</f>
        <v>4010.02</v>
      </c>
      <c r="F11" s="95">
        <f>'DOE25'!I12</f>
        <v>0</v>
      </c>
      <c r="G11" s="95">
        <f>'DOE25'!J12</f>
        <v>0</v>
      </c>
      <c r="H11" s="124"/>
      <c r="I11" s="124"/>
    </row>
    <row r="12" spans="1:9" x14ac:dyDescent="0.2">
      <c r="A12" s="1" t="s">
        <v>143</v>
      </c>
      <c r="B12" s="6">
        <v>140</v>
      </c>
      <c r="C12" s="95">
        <f>'DOE25'!F13</f>
        <v>11504.35</v>
      </c>
      <c r="D12" s="95">
        <f>'DOE25'!G13</f>
        <v>0</v>
      </c>
      <c r="E12" s="95">
        <f>'DOE25'!H13</f>
        <v>0</v>
      </c>
      <c r="F12" s="95">
        <f>'DOE25'!I13</f>
        <v>0</v>
      </c>
      <c r="G12" s="95">
        <f>'DOE25'!J13</f>
        <v>0</v>
      </c>
      <c r="H12" s="124"/>
      <c r="I12" s="124"/>
    </row>
    <row r="13" spans="1:9" x14ac:dyDescent="0.2">
      <c r="A13" s="1" t="s">
        <v>144</v>
      </c>
      <c r="B13" s="6">
        <v>150</v>
      </c>
      <c r="C13" s="95">
        <f>'DOE25'!F14</f>
        <v>911.1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78391.300000000017</v>
      </c>
      <c r="D18" s="41">
        <f>SUM(D8:D17)</f>
        <v>1391.23</v>
      </c>
      <c r="E18" s="41">
        <f>SUM(E8:E17)</f>
        <v>4010.02</v>
      </c>
      <c r="F18" s="41">
        <f>SUM(F8:F17)</f>
        <v>0</v>
      </c>
      <c r="G18" s="41">
        <f>SUM(G8:G17)</f>
        <v>320862.56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4010.02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3752.87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3073.92</v>
      </c>
      <c r="D27" s="95">
        <f>'DOE25'!G28</f>
        <v>0</v>
      </c>
      <c r="E27" s="95">
        <f>'DOE25'!H28</f>
        <v>0</v>
      </c>
      <c r="F27" s="95">
        <f>'DOE25'!I28</f>
        <v>0</v>
      </c>
      <c r="G27" s="24" t="s">
        <v>288</v>
      </c>
      <c r="H27" s="124"/>
      <c r="I27" s="124"/>
    </row>
    <row r="28" spans="1:9" x14ac:dyDescent="0.2">
      <c r="A28" s="1" t="s">
        <v>157</v>
      </c>
      <c r="B28" s="6">
        <v>470</v>
      </c>
      <c r="C28" s="95">
        <f>'DOE25'!F29</f>
        <v>388.52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7215.3099999999995</v>
      </c>
      <c r="D31" s="41">
        <f>SUM(D21:D30)</f>
        <v>0</v>
      </c>
      <c r="E31" s="41">
        <f>SUM(E21:E30)</f>
        <v>4010.02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1391.23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15520</v>
      </c>
      <c r="D47" s="95">
        <f>'DOE25'!G48</f>
        <v>0</v>
      </c>
      <c r="E47" s="95">
        <f>'DOE25'!H48</f>
        <v>0</v>
      </c>
      <c r="F47" s="95">
        <f>'DOE25'!I48</f>
        <v>0</v>
      </c>
      <c r="G47" s="95">
        <f>'DOE25'!J48</f>
        <v>320862.56</v>
      </c>
      <c r="H47" s="124"/>
      <c r="I47" s="124"/>
    </row>
    <row r="48" spans="1:9" x14ac:dyDescent="0.2">
      <c r="A48" s="1" t="s">
        <v>882</v>
      </c>
      <c r="B48" s="6">
        <v>753</v>
      </c>
      <c r="C48" s="95">
        <f>'DOE25'!F49</f>
        <v>1196.99</v>
      </c>
      <c r="D48" s="95">
        <f>'DOE25'!G49</f>
        <v>0</v>
      </c>
      <c r="E48" s="95">
        <f>'DOE25'!H49</f>
        <v>0</v>
      </c>
      <c r="F48" s="95">
        <f>'DOE25'!I49</f>
        <v>0</v>
      </c>
      <c r="G48" s="95">
        <f>'DOE25'!J49</f>
        <v>0</v>
      </c>
      <c r="H48" s="124"/>
      <c r="I48" s="124"/>
    </row>
    <row r="49" spans="1:9" ht="12" thickBot="1" x14ac:dyDescent="0.25">
      <c r="A49" s="29" t="s">
        <v>883</v>
      </c>
      <c r="B49" s="71">
        <v>770</v>
      </c>
      <c r="C49" s="95">
        <f>'DOE25'!F50</f>
        <v>19459</v>
      </c>
      <c r="D49" s="24" t="s">
        <v>288</v>
      </c>
      <c r="E49" s="24" t="s">
        <v>288</v>
      </c>
      <c r="F49" s="24" t="s">
        <v>288</v>
      </c>
      <c r="G49" s="24" t="s">
        <v>288</v>
      </c>
      <c r="H49" s="124"/>
      <c r="I49" s="124"/>
    </row>
    <row r="50" spans="1:9" ht="12.75" thickTop="1" thickBot="1" x14ac:dyDescent="0.25">
      <c r="A50" s="38" t="s">
        <v>884</v>
      </c>
      <c r="B50" s="48"/>
      <c r="C50" s="41">
        <f>SUM(C34:C49)</f>
        <v>71175.989999999991</v>
      </c>
      <c r="D50" s="41">
        <f>SUM(D34:D49)</f>
        <v>1391.23</v>
      </c>
      <c r="E50" s="41">
        <f>SUM(E34:E49)</f>
        <v>0</v>
      </c>
      <c r="F50" s="41">
        <f>SUM(F34:F49)</f>
        <v>0</v>
      </c>
      <c r="G50" s="41">
        <f>SUM(G34:G49)</f>
        <v>320862.56</v>
      </c>
      <c r="H50" s="124"/>
      <c r="I50" s="124"/>
    </row>
    <row r="51" spans="1:9" ht="12" thickTop="1" x14ac:dyDescent="0.2">
      <c r="A51" s="38" t="s">
        <v>885</v>
      </c>
      <c r="B51" s="2"/>
      <c r="C51" s="41">
        <f>C50+C31</f>
        <v>78391.299999999988</v>
      </c>
      <c r="D51" s="41">
        <f>D50+D31</f>
        <v>1391.23</v>
      </c>
      <c r="E51" s="41">
        <f>E50+E31</f>
        <v>4010.02</v>
      </c>
      <c r="F51" s="41">
        <f>F50+F31</f>
        <v>0</v>
      </c>
      <c r="G51" s="41">
        <f>G50+G31</f>
        <v>320862.56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1899716.88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1162.6099999999999</v>
      </c>
      <c r="D59" s="95">
        <f>'DOE25'!G96</f>
        <v>0</v>
      </c>
      <c r="E59" s="95">
        <f>'DOE25'!H96</f>
        <v>0</v>
      </c>
      <c r="F59" s="95">
        <f>'DOE25'!I96</f>
        <v>0</v>
      </c>
      <c r="G59" s="95">
        <f>'DOE25'!J96</f>
        <v>17024.75</v>
      </c>
      <c r="H59"/>
      <c r="I59"/>
    </row>
    <row r="60" spans="1:9" x14ac:dyDescent="0.2">
      <c r="A60" s="1" t="s">
        <v>170</v>
      </c>
      <c r="B60" s="118" t="s">
        <v>171</v>
      </c>
      <c r="C60" s="24" t="s">
        <v>288</v>
      </c>
      <c r="D60" s="95">
        <f>'DOE25'!G97</f>
        <v>1319.75</v>
      </c>
      <c r="E60" s="24" t="s">
        <v>288</v>
      </c>
      <c r="F60" s="24" t="s">
        <v>288</v>
      </c>
      <c r="G60" s="24" t="s">
        <v>288</v>
      </c>
      <c r="H60"/>
      <c r="I60"/>
    </row>
    <row r="61" spans="1:9" ht="12" thickBot="1" x14ac:dyDescent="0.25">
      <c r="A61" s="1" t="s">
        <v>172</v>
      </c>
      <c r="B61" s="118" t="s">
        <v>173</v>
      </c>
      <c r="C61" s="95">
        <f>SUM('DOE25'!F98:F110)</f>
        <v>1683.21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2845.8199999999997</v>
      </c>
      <c r="D62" s="130">
        <f>SUM(D57:D61)</f>
        <v>1319.75</v>
      </c>
      <c r="E62" s="130">
        <f>SUM(E57:E61)</f>
        <v>0</v>
      </c>
      <c r="F62" s="130">
        <f>SUM(F57:F61)</f>
        <v>0</v>
      </c>
      <c r="G62" s="130">
        <f>SUM(G57:G61)</f>
        <v>17024.75</v>
      </c>
      <c r="H62"/>
      <c r="I62"/>
    </row>
    <row r="63" spans="1:9" ht="12" thickTop="1" x14ac:dyDescent="0.2">
      <c r="A63" s="29" t="s">
        <v>175</v>
      </c>
      <c r="B63" s="6"/>
      <c r="C63" s="22">
        <f>C56+C62</f>
        <v>1902562.7</v>
      </c>
      <c r="D63" s="22">
        <f>D56+D62</f>
        <v>1319.75</v>
      </c>
      <c r="E63" s="22">
        <f>E56+E62</f>
        <v>0</v>
      </c>
      <c r="F63" s="22">
        <f>F56+F62</f>
        <v>0</v>
      </c>
      <c r="G63" s="22">
        <f>G56+G62</f>
        <v>17024.75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185282.56</v>
      </c>
      <c r="D66" s="24" t="s">
        <v>288</v>
      </c>
      <c r="E66" s="24" t="s">
        <v>288</v>
      </c>
      <c r="F66" s="24" t="s">
        <v>288</v>
      </c>
      <c r="G66" s="24" t="s">
        <v>288</v>
      </c>
      <c r="H66"/>
      <c r="I66"/>
    </row>
    <row r="67" spans="1:9" x14ac:dyDescent="0.2">
      <c r="A67" s="1" t="s">
        <v>770</v>
      </c>
      <c r="B67" s="6">
        <v>3112</v>
      </c>
      <c r="C67" s="95">
        <f>'DOE25'!F118</f>
        <v>299096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484378.56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484378.56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2193.75</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23119.18</v>
      </c>
      <c r="D87" s="24" t="s">
        <v>288</v>
      </c>
      <c r="E87" s="95">
        <f>SUM('DOE25'!H149:H152)</f>
        <v>0</v>
      </c>
      <c r="F87" s="95">
        <f>SUM('DOE25'!I149:I152)</f>
        <v>0</v>
      </c>
      <c r="G87" s="24" t="s">
        <v>288</v>
      </c>
    </row>
    <row r="88" spans="1:9" x14ac:dyDescent="0.2">
      <c r="A88" s="291" t="s">
        <v>747</v>
      </c>
      <c r="B88" s="339" t="s">
        <v>184</v>
      </c>
      <c r="C88" s="340">
        <f>SUM('DOE25'!F153:F162)</f>
        <v>9310.6</v>
      </c>
      <c r="D88" s="340">
        <f>SUM('DOE25'!G153:G162)</f>
        <v>904.96</v>
      </c>
      <c r="E88" s="340">
        <f>SUM('DOE25'!H153:H162)</f>
        <v>31342.15</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34623.53</v>
      </c>
      <c r="D91" s="131">
        <f>SUM(D85:D90)</f>
        <v>904.96</v>
      </c>
      <c r="E91" s="131">
        <f>SUM(E85:E90)</f>
        <v>31342.15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72316</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72316</v>
      </c>
    </row>
    <row r="104" spans="1:7" ht="12.75" thickTop="1" thickBot="1" x14ac:dyDescent="0.25">
      <c r="A104" s="33" t="s">
        <v>761</v>
      </c>
      <c r="C104" s="86">
        <f>C63+C81+C91+C103</f>
        <v>2421564.7899999996</v>
      </c>
      <c r="D104" s="86">
        <f>D63+D81+D91+D103</f>
        <v>2224.71</v>
      </c>
      <c r="E104" s="86">
        <f>E63+E81+E91+E103</f>
        <v>31342.15</v>
      </c>
      <c r="F104" s="86">
        <f>F63+F81+F91+F103</f>
        <v>0</v>
      </c>
      <c r="G104" s="86">
        <f>G63+G81+G103</f>
        <v>89340.75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1177828.72</v>
      </c>
      <c r="D109" s="24" t="s">
        <v>288</v>
      </c>
      <c r="E109" s="95">
        <f>('DOE25'!L277)+('DOE25'!L296)+('DOE25'!L315)</f>
        <v>0</v>
      </c>
      <c r="F109" s="24" t="s">
        <v>288</v>
      </c>
      <c r="G109" s="24" t="s">
        <v>288</v>
      </c>
    </row>
    <row r="110" spans="1:7" x14ac:dyDescent="0.2">
      <c r="A110" t="s">
        <v>198</v>
      </c>
      <c r="B110" s="32" t="s">
        <v>199</v>
      </c>
      <c r="C110" s="95">
        <f>('DOE25'!L199)+('DOE25'!L217)+('DOE25'!L235)</f>
        <v>512779.56000000006</v>
      </c>
      <c r="D110" s="24" t="s">
        <v>288</v>
      </c>
      <c r="E110" s="95">
        <f>('DOE25'!L278)+('DOE25'!L297)+('DOE25'!L316)</f>
        <v>24009.459999999995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8554.18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1699162.46</v>
      </c>
      <c r="D115" s="86">
        <f>SUM(D109:D114)</f>
        <v>0</v>
      </c>
      <c r="E115" s="86">
        <f>SUM(E109:E114)</f>
        <v>24009.459999999995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108708.98000000001</v>
      </c>
      <c r="D118" s="24" t="s">
        <v>288</v>
      </c>
      <c r="E118" s="95">
        <f>+('DOE25'!L282)+('DOE25'!L301)+('DOE25'!L320)</f>
        <v>0</v>
      </c>
      <c r="F118" s="24" t="s">
        <v>288</v>
      </c>
      <c r="G118" s="24" t="s">
        <v>288</v>
      </c>
    </row>
    <row r="119" spans="1:7" x14ac:dyDescent="0.2">
      <c r="A119" t="s">
        <v>208</v>
      </c>
      <c r="B119" s="32" t="s">
        <v>209</v>
      </c>
      <c r="C119" s="95">
        <f>('DOE25'!L204)+('DOE25'!L222)+('DOE25'!L240)</f>
        <v>55590.619999999995</v>
      </c>
      <c r="D119" s="24" t="s">
        <v>288</v>
      </c>
      <c r="E119" s="95">
        <f>+('DOE25'!L283)+('DOE25'!L302)+('DOE25'!L321)</f>
        <v>4627.46</v>
      </c>
      <c r="F119" s="24" t="s">
        <v>288</v>
      </c>
      <c r="G119" s="24" t="s">
        <v>288</v>
      </c>
    </row>
    <row r="120" spans="1:7" x14ac:dyDescent="0.2">
      <c r="A120" t="s">
        <v>210</v>
      </c>
      <c r="B120" s="32" t="s">
        <v>211</v>
      </c>
      <c r="C120" s="95">
        <f>('DOE25'!L205)+('DOE25'!L223)+('DOE25'!L241)</f>
        <v>79288.03</v>
      </c>
      <c r="D120" s="24" t="s">
        <v>288</v>
      </c>
      <c r="E120" s="95">
        <f>+('DOE25'!L284)+('DOE25'!L303)+('DOE25'!L322)</f>
        <v>612.23</v>
      </c>
      <c r="F120" s="24" t="s">
        <v>288</v>
      </c>
      <c r="G120" s="24" t="s">
        <v>288</v>
      </c>
    </row>
    <row r="121" spans="1:7" x14ac:dyDescent="0.2">
      <c r="A121" t="s">
        <v>212</v>
      </c>
      <c r="B121" s="32" t="s">
        <v>213</v>
      </c>
      <c r="C121" s="95">
        <f>('DOE25'!L206)+('DOE25'!L224)+('DOE25'!L242)</f>
        <v>197138.87999999998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133441.37</v>
      </c>
      <c r="D123" s="24" t="s">
        <v>288</v>
      </c>
      <c r="E123" s="95">
        <f>+('DOE25'!L287)+('DOE25'!L306)+('DOE25'!L325)</f>
        <v>0</v>
      </c>
      <c r="F123" s="24" t="s">
        <v>288</v>
      </c>
      <c r="G123" s="24" t="s">
        <v>288</v>
      </c>
    </row>
    <row r="124" spans="1:7" x14ac:dyDescent="0.2">
      <c r="A124" t="s">
        <v>218</v>
      </c>
      <c r="B124" s="32" t="s">
        <v>219</v>
      </c>
      <c r="C124" s="95">
        <f>('DOE25'!L209)+('DOE25'!L227)+('DOE25'!L245+'DOE25'!L255)</f>
        <v>54877.85</v>
      </c>
      <c r="D124" s="24" t="s">
        <v>288</v>
      </c>
      <c r="E124" s="95">
        <f>+('DOE25'!L288)+('DOE25'!L307)+('DOE25'!L326)</f>
        <v>2093</v>
      </c>
      <c r="F124" s="24" t="s">
        <v>288</v>
      </c>
      <c r="G124" s="24" t="s">
        <v>288</v>
      </c>
    </row>
    <row r="125" spans="1:7" x14ac:dyDescent="0.2">
      <c r="A125" t="s">
        <v>220</v>
      </c>
      <c r="B125" s="32" t="s">
        <v>221</v>
      </c>
      <c r="C125" s="95">
        <f>('DOE25'!L210)+('DOE25'!L228)+('DOE25'!L246)</f>
        <v>2007.2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1561.35</v>
      </c>
      <c r="E127" s="24" t="s">
        <v>288</v>
      </c>
      <c r="F127" s="24" t="s">
        <v>288</v>
      </c>
      <c r="G127" s="24" t="s">
        <v>288</v>
      </c>
    </row>
    <row r="128" spans="1:7" ht="12.75" thickTop="1" thickBot="1" x14ac:dyDescent="0.25">
      <c r="A128" s="33" t="s">
        <v>226</v>
      </c>
      <c r="C128" s="86">
        <f>SUM(C118:C127)</f>
        <v>631052.92999999993</v>
      </c>
      <c r="D128" s="86">
        <f>SUM(D118:D127)</f>
        <v>1561.35</v>
      </c>
      <c r="E128" s="86">
        <f>SUM(E118:E127)</f>
        <v>7332.6900000000005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298.66000000000003</v>
      </c>
      <c r="D138" s="24" t="s">
        <v>288</v>
      </c>
      <c r="E138" s="24" t="s">
        <v>288</v>
      </c>
      <c r="F138" s="24" t="s">
        <v>288</v>
      </c>
      <c r="G138" s="24" t="s">
        <v>288</v>
      </c>
    </row>
    <row r="139" spans="1:7" x14ac:dyDescent="0.2">
      <c r="A139" t="s">
        <v>239</v>
      </c>
      <c r="B139" s="32">
        <v>5252</v>
      </c>
      <c r="C139" s="95">
        <f>'DOE25'!L402</f>
        <v>89042.09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-17024.75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72316</v>
      </c>
      <c r="D144" s="141">
        <f>SUM(D130:D143)</f>
        <v>0</v>
      </c>
      <c r="E144" s="141">
        <f>SUM(E130:E143)</f>
        <v>0</v>
      </c>
      <c r="F144" s="141">
        <f>SUM(F130:F143)</f>
        <v>0</v>
      </c>
      <c r="G144" s="141">
        <f>SUM(G130:G143)</f>
        <v>0</v>
      </c>
    </row>
    <row r="145" spans="1:9" ht="12.75" thickTop="1" thickBot="1" x14ac:dyDescent="0.25">
      <c r="A145" s="33" t="s">
        <v>244</v>
      </c>
      <c r="C145" s="86">
        <f>(C115+C128+C144)</f>
        <v>2402531.3899999997</v>
      </c>
      <c r="D145" s="86">
        <f>(D115+D128+D144)</f>
        <v>1561.35</v>
      </c>
      <c r="E145" s="86">
        <f>(E115+E128+E144)</f>
        <v>31342.149999999994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SOUTH HAMPTON</v>
      </c>
    </row>
    <row r="3" spans="1:4" x14ac:dyDescent="0.2">
      <c r="B3" s="188" t="s">
        <v>1587</v>
      </c>
    </row>
    <row r="4" spans="1:4" x14ac:dyDescent="0.2">
      <c r="B4" t="s">
        <v>61</v>
      </c>
      <c r="C4" s="179">
        <f>IF('DOE25'!F666+'DOE25'!F671=0,0,ROUND('DOE25'!F673,0))</f>
        <v>23375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23375</v>
      </c>
    </row>
    <row r="9" spans="1:4" x14ac:dyDescent="0.2">
      <c r="A9" s="187" t="s">
        <v>94</v>
      </c>
      <c r="B9" s="188" t="s">
        <v>1588</v>
      </c>
      <c r="C9" s="181" t="s">
        <v>720</v>
      </c>
      <c r="D9" s="181" t="s">
        <v>721</v>
      </c>
    </row>
    <row r="10" spans="1:4" x14ac:dyDescent="0.2">
      <c r="A10">
        <v>1100</v>
      </c>
      <c r="B10" t="s">
        <v>702</v>
      </c>
      <c r="C10" s="179">
        <f>ROUND('DOE25'!L198+'DOE25'!L216+'DOE25'!L234+'DOE25'!L277+'DOE25'!L296+'DOE25'!L315,0)</f>
        <v>1177829</v>
      </c>
      <c r="D10" s="182">
        <f>ROUND((C10/$C$28)*100,1)</f>
        <v>49.9</v>
      </c>
    </row>
    <row r="11" spans="1:4" x14ac:dyDescent="0.2">
      <c r="A11">
        <v>1200</v>
      </c>
      <c r="B11" t="s">
        <v>703</v>
      </c>
      <c r="C11" s="179">
        <f>ROUND('DOE25'!L199+'DOE25'!L217+'DOE25'!L235+'DOE25'!L278+'DOE25'!L297+'DOE25'!L316,0)</f>
        <v>536789</v>
      </c>
      <c r="D11" s="182">
        <f>ROUND((C11/$C$28)*100,1)</f>
        <v>22.7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8554</v>
      </c>
      <c r="D13" s="182">
        <f>ROUND((C13/$C$28)*100,1)</f>
        <v>0.4</v>
      </c>
    </row>
    <row r="14" spans="1:4" x14ac:dyDescent="0.2">
      <c r="D14" s="182"/>
    </row>
    <row r="15" spans="1:4" x14ac:dyDescent="0.2">
      <c r="A15">
        <v>2100</v>
      </c>
      <c r="B15" t="s">
        <v>706</v>
      </c>
      <c r="C15" s="179">
        <f>ROUND('DOE25'!L203+'DOE25'!L221+'DOE25'!L239+'DOE25'!L282+'DOE25'!L301+'DOE25'!L320,0)</f>
        <v>108709</v>
      </c>
      <c r="D15" s="182">
        <f t="shared" ref="D15:D27" si="0">ROUND((C15/$C$28)*100,1)</f>
        <v>4.5999999999999996</v>
      </c>
    </row>
    <row r="16" spans="1:4" x14ac:dyDescent="0.2">
      <c r="A16">
        <v>2200</v>
      </c>
      <c r="B16" t="s">
        <v>707</v>
      </c>
      <c r="C16" s="179">
        <f>ROUND('DOE25'!L204+'DOE25'!L222+'DOE25'!L240+'DOE25'!L283+'DOE25'!L302+'DOE25'!L321,0)</f>
        <v>60218</v>
      </c>
      <c r="D16" s="182">
        <f t="shared" si="0"/>
        <v>2.5</v>
      </c>
    </row>
    <row r="17" spans="1:4" x14ac:dyDescent="0.2">
      <c r="A17" s="183" t="s">
        <v>723</v>
      </c>
      <c r="B17" t="s">
        <v>738</v>
      </c>
      <c r="C17" s="179">
        <f>ROUND('DOE25'!L205+'DOE25'!L210+'DOE25'!L223+'DOE25'!L228+'DOE25'!L241+'DOE25'!L246+'DOE25'!L284+'DOE25'!L289+'DOE25'!L303+'DOE25'!L308+'DOE25'!L322+'DOE25'!L327,0)</f>
        <v>81907</v>
      </c>
      <c r="D17" s="182">
        <f t="shared" si="0"/>
        <v>3.5</v>
      </c>
    </row>
    <row r="18" spans="1:4" x14ac:dyDescent="0.2">
      <c r="A18">
        <v>2400</v>
      </c>
      <c r="B18" t="s">
        <v>711</v>
      </c>
      <c r="C18" s="179">
        <f>ROUND('DOE25'!L206+'DOE25'!L224+'DOE25'!L242+'DOE25'!L285+'DOE25'!L304+'DOE25'!L323,0)</f>
        <v>197139</v>
      </c>
      <c r="D18" s="182">
        <f t="shared" si="0"/>
        <v>8.3000000000000007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133441</v>
      </c>
      <c r="D20" s="182">
        <f t="shared" si="0"/>
        <v>5.6</v>
      </c>
    </row>
    <row r="21" spans="1:4" x14ac:dyDescent="0.2">
      <c r="A21">
        <v>2700</v>
      </c>
      <c r="B21" t="s">
        <v>710</v>
      </c>
      <c r="C21" s="179">
        <f>ROUND('DOE25'!L209+'DOE25'!L227+'DOE25'!L245+'DOE25'!L288+'DOE25'!L307+'DOE25'!L326,0)</f>
        <v>56971</v>
      </c>
      <c r="D21" s="182">
        <f t="shared" si="0"/>
        <v>2.4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241.25</v>
      </c>
      <c r="D27" s="182">
        <f t="shared" si="0"/>
        <v>0</v>
      </c>
    </row>
    <row r="28" spans="1:4" x14ac:dyDescent="0.2">
      <c r="B28" s="187" t="s">
        <v>719</v>
      </c>
      <c r="C28" s="180">
        <f>SUM(C10:C27)</f>
        <v>2361798.25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2361798.25</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1899717</v>
      </c>
      <c r="D35" s="182">
        <f t="shared" ref="D35:D40" si="1">ROUND((C35/$C$41)*100,1)</f>
        <v>76.900000000000006</v>
      </c>
    </row>
    <row r="36" spans="1:4" x14ac:dyDescent="0.2">
      <c r="B36" s="185" t="s">
        <v>739</v>
      </c>
      <c r="C36" s="179">
        <f>SUM('DOE25'!F112:J112)-SUM('DOE25'!G97:G110)+('DOE25'!F175+'DOE25'!F176+'DOE25'!I175+'DOE25'!I176)-C35</f>
        <v>19870.449999999953</v>
      </c>
      <c r="D36" s="182">
        <f t="shared" si="1"/>
        <v>0.8</v>
      </c>
    </row>
    <row r="37" spans="1:4" x14ac:dyDescent="0.2">
      <c r="A37" s="183" t="s">
        <v>835</v>
      </c>
      <c r="B37" s="185" t="s">
        <v>728</v>
      </c>
      <c r="C37" s="179">
        <f>ROUND('DOE25'!F117+'DOE25'!F118,0)</f>
        <v>484379</v>
      </c>
      <c r="D37" s="182">
        <f t="shared" si="1"/>
        <v>19.600000000000001</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66871</v>
      </c>
      <c r="D39" s="182">
        <f t="shared" si="1"/>
        <v>2.7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2470837.4500000002</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SOUTH HAMPTON</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2020-12-01T15:57:04Z</cp:lastPrinted>
  <dcterms:created xsi:type="dcterms:W3CDTF">1997-12-04T19:04:30Z</dcterms:created>
  <dcterms:modified xsi:type="dcterms:W3CDTF">2020-12-01T15:57:10Z</dcterms:modified>
</cp:coreProperties>
</file>