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6000" windowHeight="117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D11" i="13" l="1"/>
  <c r="J524" i="1" l="1"/>
  <c r="I524" i="1"/>
  <c r="H524" i="1"/>
  <c r="F524" i="1"/>
  <c r="J523" i="1"/>
  <c r="I523" i="1"/>
  <c r="H523" i="1"/>
  <c r="F523" i="1"/>
  <c r="J522" i="1"/>
  <c r="I522" i="1"/>
  <c r="H522" i="1"/>
  <c r="F522" i="1"/>
  <c r="J605" i="1" l="1"/>
  <c r="I605" i="1"/>
  <c r="H605" i="1"/>
  <c r="J592" i="1" l="1"/>
  <c r="I592" i="1"/>
  <c r="H592" i="1"/>
  <c r="I222" i="1" l="1"/>
  <c r="I240" i="1"/>
  <c r="H244" i="1"/>
  <c r="I242" i="1"/>
  <c r="H242" i="1"/>
  <c r="J240" i="1"/>
  <c r="I237" i="1"/>
  <c r="H235" i="1"/>
  <c r="I234" i="1"/>
  <c r="H226" i="1"/>
  <c r="I224" i="1"/>
  <c r="H224" i="1"/>
  <c r="J222" i="1"/>
  <c r="I219" i="1"/>
  <c r="H217" i="1"/>
  <c r="I216" i="1"/>
  <c r="H208" i="1"/>
  <c r="J204" i="1"/>
  <c r="I204" i="1"/>
  <c r="H204" i="1"/>
  <c r="I199" i="1"/>
  <c r="H199" i="1"/>
  <c r="I198" i="1"/>
  <c r="G245" i="1" l="1"/>
  <c r="G241" i="1"/>
  <c r="G240" i="1"/>
  <c r="G227" i="1"/>
  <c r="G223" i="1"/>
  <c r="G222" i="1"/>
  <c r="G209" i="1"/>
  <c r="G205" i="1"/>
  <c r="G20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C12" i="10" s="1"/>
  <c r="L299" i="1"/>
  <c r="E112" i="2" s="1"/>
  <c r="L301" i="1"/>
  <c r="L302" i="1"/>
  <c r="L303" i="1"/>
  <c r="L304" i="1"/>
  <c r="L305" i="1"/>
  <c r="L306" i="1"/>
  <c r="L307" i="1"/>
  <c r="E124" i="2" s="1"/>
  <c r="L308" i="1"/>
  <c r="E125" i="2" s="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56" i="2" s="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c r="I147" i="1"/>
  <c r="I170" i="1"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D115" i="2"/>
  <c r="F115" i="2"/>
  <c r="G115" i="2"/>
  <c r="E119" i="2"/>
  <c r="E120" i="2"/>
  <c r="E121" i="2"/>
  <c r="E123" i="2"/>
  <c r="C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G653" i="1"/>
  <c r="H653" i="1"/>
  <c r="G654" i="1"/>
  <c r="H654" i="1"/>
  <c r="G655" i="1"/>
  <c r="H655" i="1"/>
  <c r="H656" i="1"/>
  <c r="J656" i="1" s="1"/>
  <c r="G62" i="2"/>
  <c r="J140" i="1"/>
  <c r="H140" i="1"/>
  <c r="E111" i="2" l="1"/>
  <c r="A31" i="12"/>
  <c r="D18" i="13"/>
  <c r="C18" i="13" s="1"/>
  <c r="F85" i="2"/>
  <c r="K339" i="1"/>
  <c r="K353" i="1" s="1"/>
  <c r="C32" i="10"/>
  <c r="E114" i="2"/>
  <c r="E13" i="13"/>
  <c r="C13" i="13" s="1"/>
  <c r="H112" i="1"/>
  <c r="L402" i="1"/>
  <c r="C139" i="2" s="1"/>
  <c r="L257" i="1"/>
  <c r="C91" i="2"/>
  <c r="H409" i="1"/>
  <c r="H645" i="1" s="1"/>
  <c r="G663" i="1"/>
  <c r="A40" i="12"/>
  <c r="G553" i="1"/>
  <c r="J652" i="1"/>
  <c r="C112" i="2"/>
  <c r="G646" i="1"/>
  <c r="J258" i="1"/>
  <c r="J272" i="1" s="1"/>
  <c r="C119" i="2"/>
  <c r="D15" i="13"/>
  <c r="C15" i="13" s="1"/>
  <c r="G651" i="1"/>
  <c r="J651" i="1" s="1"/>
  <c r="C121" i="2"/>
  <c r="C13" i="10"/>
  <c r="C120" i="2"/>
  <c r="D6" i="13"/>
  <c r="C6" i="13" s="1"/>
  <c r="F258" i="1"/>
  <c r="F272" i="1" s="1"/>
  <c r="C20" i="10"/>
  <c r="C11" i="10"/>
  <c r="E110" i="2"/>
  <c r="H477" i="1"/>
  <c r="H625" i="1" s="1"/>
  <c r="J625" i="1" s="1"/>
  <c r="G409" i="1"/>
  <c r="H646" i="1" s="1"/>
  <c r="J646" i="1" s="1"/>
  <c r="I370" i="1"/>
  <c r="H635" i="1" s="1"/>
  <c r="J635" i="1" s="1"/>
  <c r="G477" i="1"/>
  <c r="G662" i="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F194" i="1" s="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J653" i="1"/>
  <c r="G572" i="1"/>
  <c r="I435" i="1"/>
  <c r="G435" i="1"/>
  <c r="I664" i="1"/>
  <c r="C141" i="2" l="1"/>
  <c r="L572" i="1"/>
  <c r="G36" i="14"/>
  <c r="H36" i="14" s="1"/>
  <c r="I36" i="14" s="1"/>
  <c r="H661" i="1"/>
  <c r="H665" i="1" s="1"/>
  <c r="H668" i="1" s="1"/>
  <c r="E115" i="2"/>
  <c r="E145" i="2" s="1"/>
  <c r="G24" i="14"/>
  <c r="H24" i="14" s="1"/>
  <c r="I24" i="14" s="1"/>
  <c r="H649" i="1"/>
  <c r="J649" i="1" s="1"/>
  <c r="F661" i="1"/>
  <c r="F665" i="1" s="1"/>
  <c r="F668" i="1" s="1"/>
  <c r="C8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<sst xmlns="http://schemas.openxmlformats.org/spreadsheetml/2006/main" count="5546" uniqueCount="1642">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</sst>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6"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1442</v>
      </c>
      <c r="B2" s="21">
        <v>515</v>
      </c>
      <c r="C2" s="21">
        <v>515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776278</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11</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v>101987</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231696</v>
      </c>
      <c r="G12" s="18">
        <v>1496</v>
      </c>
      <c r="H12" s="18">
        <v>-103736</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11893</v>
      </c>
      <c r="H13" s="18">
        <v>107878</v>
      </c>
      <c r="I13" s="18"/>
      <c r="J13" s="67">
        <f>SUM(I443)</f>
        <v>1096784</v>
      </c>
      <c r="K13" s="24" t="s">
        <v>288</v>
      </c>
      <c r="L13" s="24" t="s">
        <v>288</v>
      </c>
      <c r="M13" s="8"/>
      <c r="N13" s="266"/>
    </row>
    <row r="14" spans="1:14" s="3" customFormat="1" ht="12.2" customHeight="1" x14ac:dyDescent="0.15">
      <c r="A14" s="1" t="s">
        <v>565</v>
      </c>
      <c r="B14" s="2" t="s">
        <v>289</v>
      </c>
      <c r="C14" s="6">
        <v>6</v>
      </c>
      <c r="D14" s="2" t="s">
        <v>428</v>
      </c>
      <c r="E14" s="6">
        <v>150</v>
      </c>
      <c r="F14" s="18">
        <v>66608</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1176580</v>
      </c>
      <c r="G19" s="41">
        <f>SUM(G9:G18)</f>
        <v>13389</v>
      </c>
      <c r="H19" s="41">
        <f>SUM(H9:H18)</f>
        <v>4142</v>
      </c>
      <c r="I19" s="41">
        <f>SUM(I9:I18)</f>
        <v>0</v>
      </c>
      <c r="J19" s="41">
        <f>SUM(J9:J18)</f>
        <v>1096784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231696</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105515</v>
      </c>
      <c r="G24" s="18"/>
      <c r="H24" s="18">
        <v>4142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105515</v>
      </c>
      <c r="G32" s="41">
        <f>SUM(G22:G31)</f>
        <v>0</v>
      </c>
      <c r="H32" s="41">
        <f>SUM(H22:H31)</f>
        <v>4142</v>
      </c>
      <c r="I32" s="41">
        <f>SUM(I22:I31)</f>
        <v>0</v>
      </c>
      <c r="J32" s="41">
        <f>SUM(J22:J31)</f>
        <v>231696</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320938</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865088</v>
      </c>
      <c r="K48" s="24" t="s">
        <v>288</v>
      </c>
      <c r="L48" s="24" t="s">
        <v>288</v>
      </c>
      <c r="M48" s="8"/>
      <c r="N48" s="266"/>
    </row>
    <row r="49" spans="1:14" s="3" customFormat="1" ht="12.2" customHeight="1" x14ac:dyDescent="0.15">
      <c r="A49" s="1" t="s">
        <v>859</v>
      </c>
      <c r="B49" s="2" t="s">
        <v>289</v>
      </c>
      <c r="C49" s="6">
        <v>34</v>
      </c>
      <c r="D49" s="2"/>
      <c r="E49" s="6">
        <v>753</v>
      </c>
      <c r="F49" s="18"/>
      <c r="G49" s="18">
        <v>13389</v>
      </c>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425127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1071065</v>
      </c>
      <c r="G51" s="41">
        <f>SUM(G35:G50)</f>
        <v>13389</v>
      </c>
      <c r="H51" s="41">
        <f>SUM(H35:H50)</f>
        <v>0</v>
      </c>
      <c r="I51" s="41">
        <f>SUM(I35:I50)</f>
        <v>0</v>
      </c>
      <c r="J51" s="41">
        <f>SUM(J35:J50)</f>
        <v>865088</v>
      </c>
      <c r="K51" s="45" t="s">
        <v>288</v>
      </c>
      <c r="L51" s="45" t="s">
        <v>288</v>
      </c>
      <c r="N51" s="264"/>
    </row>
    <row r="52" spans="1:14" s="3" customFormat="1" ht="12.2" customHeight="1" thickTop="1" x14ac:dyDescent="0.15">
      <c r="A52" s="38" t="s">
        <v>455</v>
      </c>
      <c r="B52" s="39" t="s">
        <v>289</v>
      </c>
      <c r="C52" s="6">
        <v>37</v>
      </c>
      <c r="D52" s="39" t="s">
        <v>653</v>
      </c>
      <c r="E52" s="39"/>
      <c r="F52" s="41">
        <f>F51+F32</f>
        <v>1176580</v>
      </c>
      <c r="G52" s="41">
        <f>G51+G32</f>
        <v>13389</v>
      </c>
      <c r="H52" s="41">
        <f>H51+H32</f>
        <v>4142</v>
      </c>
      <c r="I52" s="41">
        <f>I51+I32</f>
        <v>0</v>
      </c>
      <c r="J52" s="41">
        <f>J51+J32</f>
        <v>1096784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8903208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8903208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22244</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298538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49499</v>
      </c>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370281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19627</v>
      </c>
      <c r="G96" s="18"/>
      <c r="H96" s="18"/>
      <c r="I96" s="18"/>
      <c r="J96" s="18">
        <v>13286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71152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5124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24751</v>
      </c>
      <c r="G111" s="41">
        <f>SUM(G96:G110)</f>
        <v>71152</v>
      </c>
      <c r="H111" s="41">
        <f>SUM(H96:H110)</f>
        <v>0</v>
      </c>
      <c r="I111" s="41">
        <f>SUM(I96:I110)</f>
        <v>0</v>
      </c>
      <c r="J111" s="41">
        <f>SUM(J96:J110)</f>
        <v>13286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9298240</v>
      </c>
      <c r="G112" s="41">
        <f>G60+G111</f>
        <v>71152</v>
      </c>
      <c r="H112" s="41">
        <f>H60+H79+H94+H111</f>
        <v>0</v>
      </c>
      <c r="I112" s="41">
        <f>I60+I111</f>
        <v>0</v>
      </c>
      <c r="J112" s="41">
        <f>J60+J111</f>
        <v>13286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2609473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2609473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4396</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301143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1516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2060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9658</v>
      </c>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307055</v>
      </c>
      <c r="G136" s="41">
        <f>SUM(G123:G135)</f>
        <v>11718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2916528</v>
      </c>
      <c r="G140" s="41">
        <f>G121+SUM(G136:G137)</f>
        <v>11718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35941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46077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47963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196286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14754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t="s">
        <v>286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14754</v>
      </c>
      <c r="G163" s="41">
        <f>SUM(G150:G162)</f>
        <v>47963</v>
      </c>
      <c r="H163" s="41">
        <f>SUM(H150:H162)</f>
        <v>278304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14754</v>
      </c>
      <c r="G170" s="41">
        <f>G147+G163+SUM(G164:G169)</f>
        <v>47963</v>
      </c>
      <c r="H170" s="41">
        <f>H147+H163+SUM(H164:H169)</f>
        <v>278304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12229522</v>
      </c>
      <c r="G194" s="47">
        <f>G112+G140+G170+G193</f>
        <v>130833</v>
      </c>
      <c r="H194" s="47">
        <f>H112+H140+H170+H193</f>
        <v>278304</v>
      </c>
      <c r="I194" s="47">
        <f>I112+I140+I170+I193</f>
        <v>0</v>
      </c>
      <c r="J194" s="47">
        <f>J112+J140+J193</f>
        <v>113286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1196762</v>
      </c>
      <c r="G198" s="18">
        <v>485248</v>
      </c>
      <c r="H198" s="18">
        <v>7746</v>
      </c>
      <c r="I198" s="18">
        <f>33379+966</f>
        <v>34345</v>
      </c>
      <c r="J198" s="18">
        <v>6680</v>
      </c>
      <c r="K198" s="18"/>
      <c r="L198" s="19">
        <f>SUM(F198:K198)</f>
        <v>1730781</v>
      </c>
      <c r="M198" s="8"/>
      <c r="N198" s="266"/>
    </row>
    <row r="199" spans="1:14" s="3" customFormat="1" ht="12.2" customHeight="1" x14ac:dyDescent="0.15">
      <c r="A199" s="1" t="s">
        <v>439</v>
      </c>
      <c r="B199" s="2" t="s">
        <v>341</v>
      </c>
      <c r="C199" s="2" t="s">
        <v>291</v>
      </c>
      <c r="D199" s="2" t="s">
        <v>431</v>
      </c>
      <c r="E199" s="6">
        <v>1200</v>
      </c>
      <c r="F199" s="18">
        <v>369319</v>
      </c>
      <c r="G199" s="18">
        <v>163104</v>
      </c>
      <c r="H199" s="18">
        <f>6880+10860</f>
        <v>17740</v>
      </c>
      <c r="I199" s="18">
        <f>6369+209</f>
        <v>6578</v>
      </c>
      <c r="J199" s="18">
        <v>101</v>
      </c>
      <c r="K199" s="18">
        <v>652</v>
      </c>
      <c r="L199" s="19">
        <f>SUM(F199:K199)</f>
        <v>557494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21413</v>
      </c>
      <c r="G201" s="18">
        <v>29224</v>
      </c>
      <c r="H201" s="18">
        <v>5391</v>
      </c>
      <c r="I201" s="18">
        <v>2584</v>
      </c>
      <c r="J201" s="18"/>
      <c r="K201" s="18"/>
      <c r="L201" s="19">
        <f>SUM(F201:K201)</f>
        <v>58612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243277</v>
      </c>
      <c r="G203" s="18">
        <v>131631</v>
      </c>
      <c r="H203" s="18">
        <v>5017</v>
      </c>
      <c r="I203" s="18">
        <v>1404</v>
      </c>
      <c r="J203" s="18"/>
      <c r="K203" s="18"/>
      <c r="L203" s="19">
        <f t="shared" ref="L203:L209" si="0">SUM(F203:K203)</f>
        <v>381329</v>
      </c>
      <c r="M203" s="8"/>
      <c r="N203" s="266"/>
    </row>
    <row r="204" spans="1:14" s="3" customFormat="1" ht="12.2" customHeight="1" x14ac:dyDescent="0.15">
      <c r="A204" s="1" t="s">
        <v>443</v>
      </c>
      <c r="B204" s="2" t="s">
        <v>341</v>
      </c>
      <c r="C204" s="2" t="s">
        <v>295</v>
      </c>
      <c r="D204" s="2" t="s">
        <v>431</v>
      </c>
      <c r="E204" s="6">
        <v>2200</v>
      </c>
      <c r="F204" s="18">
        <v>122470</v>
      </c>
      <c r="G204" s="18">
        <f>20688+67514</f>
        <v>88202</v>
      </c>
      <c r="H204" s="18">
        <f>11590+2008</f>
        <v>13598</v>
      </c>
      <c r="I204" s="18">
        <f>43469+3491</f>
        <v>46960</v>
      </c>
      <c r="J204" s="18">
        <f>56847+1215</f>
        <v>58062</v>
      </c>
      <c r="K204" s="18"/>
      <c r="L204" s="19">
        <f t="shared" si="0"/>
        <v>329292</v>
      </c>
      <c r="M204" s="8"/>
      <c r="N204" s="266"/>
    </row>
    <row r="205" spans="1:14" s="3" customFormat="1" ht="12.2" customHeight="1" x14ac:dyDescent="0.15">
      <c r="A205" s="1" t="s">
        <v>444</v>
      </c>
      <c r="B205" s="2" t="s">
        <v>341</v>
      </c>
      <c r="C205" s="2" t="s">
        <v>296</v>
      </c>
      <c r="D205" s="2" t="s">
        <v>431</v>
      </c>
      <c r="E205" s="6">
        <v>2300</v>
      </c>
      <c r="F205" s="18">
        <v>106949</v>
      </c>
      <c r="G205" s="18">
        <f>2920+54700</f>
        <v>57620</v>
      </c>
      <c r="H205" s="18">
        <v>19563</v>
      </c>
      <c r="I205" s="18">
        <v>8422</v>
      </c>
      <c r="J205" s="18"/>
      <c r="K205" s="18">
        <v>4006</v>
      </c>
      <c r="L205" s="19">
        <f t="shared" si="0"/>
        <v>196560</v>
      </c>
      <c r="M205" s="8"/>
      <c r="N205" s="266"/>
    </row>
    <row r="206" spans="1:14" s="3" customFormat="1" ht="12.2" customHeight="1" x14ac:dyDescent="0.15">
      <c r="A206" s="1" t="s">
        <v>445</v>
      </c>
      <c r="B206" s="2" t="s">
        <v>341</v>
      </c>
      <c r="C206" s="2" t="s">
        <v>297</v>
      </c>
      <c r="D206" s="2" t="s">
        <v>431</v>
      </c>
      <c r="E206" s="6">
        <v>2400</v>
      </c>
      <c r="F206" s="18">
        <v>126765</v>
      </c>
      <c r="G206" s="18">
        <v>63342</v>
      </c>
      <c r="H206" s="18">
        <v>550</v>
      </c>
      <c r="I206" s="18">
        <v>1000</v>
      </c>
      <c r="J206" s="18"/>
      <c r="K206" s="18"/>
      <c r="L206" s="19">
        <f t="shared" si="0"/>
        <v>191657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115187</v>
      </c>
      <c r="G208" s="18">
        <v>51753</v>
      </c>
      <c r="H208" s="18">
        <f>133750+119</f>
        <v>133869</v>
      </c>
      <c r="I208" s="18">
        <v>81287</v>
      </c>
      <c r="J208" s="18"/>
      <c r="K208" s="18"/>
      <c r="L208" s="19">
        <f t="shared" si="0"/>
        <v>382096</v>
      </c>
      <c r="M208" s="8"/>
      <c r="N208" s="266"/>
    </row>
    <row r="209" spans="1:14" s="3" customFormat="1" ht="12.2" customHeight="1" x14ac:dyDescent="0.15">
      <c r="A209" s="1" t="s">
        <v>448</v>
      </c>
      <c r="B209" s="2" t="s">
        <v>341</v>
      </c>
      <c r="C209" s="2" t="s">
        <v>300</v>
      </c>
      <c r="D209" s="2" t="s">
        <v>431</v>
      </c>
      <c r="E209" s="6">
        <v>2700</v>
      </c>
      <c r="F209" s="18">
        <v>133494</v>
      </c>
      <c r="G209" s="18">
        <f>489+48703</f>
        <v>49192</v>
      </c>
      <c r="H209" s="18">
        <v>21632</v>
      </c>
      <c r="I209" s="18">
        <v>13032</v>
      </c>
      <c r="J209" s="18">
        <v>58597</v>
      </c>
      <c r="K209" s="18">
        <v>401</v>
      </c>
      <c r="L209" s="19">
        <f t="shared" si="0"/>
        <v>276348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2435636</v>
      </c>
      <c r="G212" s="41">
        <f t="shared" si="1"/>
        <v>1119316</v>
      </c>
      <c r="H212" s="41">
        <f t="shared" si="1"/>
        <v>225106</v>
      </c>
      <c r="I212" s="41">
        <f t="shared" si="1"/>
        <v>195612</v>
      </c>
      <c r="J212" s="41">
        <f t="shared" si="1"/>
        <v>123440</v>
      </c>
      <c r="K212" s="41">
        <f t="shared" si="1"/>
        <v>5059</v>
      </c>
      <c r="L212" s="41">
        <f t="shared" si="1"/>
        <v>4104169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677546</v>
      </c>
      <c r="G216" s="18">
        <v>485248</v>
      </c>
      <c r="H216" s="18">
        <v>3847</v>
      </c>
      <c r="I216" s="18">
        <f>34104+68</f>
        <v>34172</v>
      </c>
      <c r="J216" s="18">
        <v>3167</v>
      </c>
      <c r="K216" s="18"/>
      <c r="L216" s="19">
        <f>SUM(F216:K216)</f>
        <v>1203980</v>
      </c>
      <c r="M216" s="8"/>
      <c r="N216" s="266"/>
    </row>
    <row r="217" spans="1:14" s="3" customFormat="1" ht="12.2" customHeight="1" x14ac:dyDescent="0.15">
      <c r="A217" s="1" t="s">
        <v>439</v>
      </c>
      <c r="B217" s="2" t="s">
        <v>346</v>
      </c>
      <c r="C217" s="2" t="s">
        <v>291</v>
      </c>
      <c r="D217" s="2" t="s">
        <v>431</v>
      </c>
      <c r="E217" s="6">
        <v>1200</v>
      </c>
      <c r="F217" s="18">
        <v>183739</v>
      </c>
      <c r="G217" s="18">
        <v>163104</v>
      </c>
      <c r="H217" s="18">
        <f>4995+10860</f>
        <v>15855</v>
      </c>
      <c r="I217" s="18">
        <v>3169</v>
      </c>
      <c r="J217" s="18">
        <v>122</v>
      </c>
      <c r="K217" s="18">
        <v>652</v>
      </c>
      <c r="L217" s="19">
        <f>SUM(F217:K217)</f>
        <v>366641</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42340</v>
      </c>
      <c r="G219" s="18">
        <v>29224</v>
      </c>
      <c r="H219" s="18">
        <v>8485</v>
      </c>
      <c r="I219" s="18">
        <f>16942+292</f>
        <v>17234</v>
      </c>
      <c r="J219" s="18"/>
      <c r="K219" s="18">
        <v>1830</v>
      </c>
      <c r="L219" s="19">
        <f>SUM(F219:K219)</f>
        <v>99113</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222730</v>
      </c>
      <c r="G221" s="18">
        <v>131631</v>
      </c>
      <c r="H221" s="18">
        <v>8569</v>
      </c>
      <c r="I221" s="18">
        <v>2107</v>
      </c>
      <c r="J221" s="18"/>
      <c r="K221" s="18"/>
      <c r="L221" s="19">
        <f t="shared" ref="L221:L227" si="2">SUM(F221:K221)</f>
        <v>365037</v>
      </c>
      <c r="M221" s="8"/>
      <c r="N221" s="266"/>
    </row>
    <row r="222" spans="1:14" s="3" customFormat="1" ht="12.2" customHeight="1" x14ac:dyDescent="0.15">
      <c r="A222" s="1" t="s">
        <v>443</v>
      </c>
      <c r="B222" s="2" t="s">
        <v>346</v>
      </c>
      <c r="C222" s="2" t="s">
        <v>295</v>
      </c>
      <c r="D222" s="2" t="s">
        <v>431</v>
      </c>
      <c r="E222" s="6">
        <v>2200</v>
      </c>
      <c r="F222" s="18">
        <v>120809</v>
      </c>
      <c r="G222" s="18">
        <f>7049+67514</f>
        <v>74563</v>
      </c>
      <c r="H222" s="18">
        <v>13214</v>
      </c>
      <c r="I222" s="18">
        <f>33033+3491+2225</f>
        <v>38749</v>
      </c>
      <c r="J222" s="18">
        <f>45586+1215+5551</f>
        <v>52352</v>
      </c>
      <c r="K222" s="18"/>
      <c r="L222" s="19">
        <f t="shared" si="2"/>
        <v>299687</v>
      </c>
      <c r="M222" s="8"/>
      <c r="N222" s="266"/>
    </row>
    <row r="223" spans="1:14" s="3" customFormat="1" ht="12.2" customHeight="1" x14ac:dyDescent="0.15">
      <c r="A223" s="1" t="s">
        <v>444</v>
      </c>
      <c r="B223" s="2" t="s">
        <v>346</v>
      </c>
      <c r="C223" s="2" t="s">
        <v>296</v>
      </c>
      <c r="D223" s="2" t="s">
        <v>431</v>
      </c>
      <c r="E223" s="6">
        <v>2300</v>
      </c>
      <c r="F223" s="18">
        <v>106948</v>
      </c>
      <c r="G223" s="18">
        <f>2920+54700</f>
        <v>57620</v>
      </c>
      <c r="H223" s="18">
        <v>19564</v>
      </c>
      <c r="I223" s="18">
        <v>8422</v>
      </c>
      <c r="J223" s="18"/>
      <c r="K223" s="18">
        <v>4006</v>
      </c>
      <c r="L223" s="19">
        <f t="shared" si="2"/>
        <v>196560</v>
      </c>
      <c r="M223" s="8"/>
      <c r="N223" s="266"/>
    </row>
    <row r="224" spans="1:14" s="3" customFormat="1" ht="12.2" customHeight="1" x14ac:dyDescent="0.15">
      <c r="A224" s="1" t="s">
        <v>445</v>
      </c>
      <c r="B224" s="2" t="s">
        <v>346</v>
      </c>
      <c r="C224" s="2" t="s">
        <v>297</v>
      </c>
      <c r="D224" s="2" t="s">
        <v>431</v>
      </c>
      <c r="E224" s="6">
        <v>2400</v>
      </c>
      <c r="F224" s="18">
        <v>95006</v>
      </c>
      <c r="G224" s="18">
        <v>63342</v>
      </c>
      <c r="H224" s="18">
        <f>2195+68</f>
        <v>2263</v>
      </c>
      <c r="I224" s="18">
        <f>2843+63</f>
        <v>2906</v>
      </c>
      <c r="J224" s="18"/>
      <c r="K224" s="18">
        <v>2601</v>
      </c>
      <c r="L224" s="19">
        <f t="shared" si="2"/>
        <v>166118</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72439</v>
      </c>
      <c r="G226" s="18">
        <v>51753</v>
      </c>
      <c r="H226" s="18">
        <f>111399+119</f>
        <v>111518</v>
      </c>
      <c r="I226" s="18">
        <v>103469</v>
      </c>
      <c r="J226" s="18">
        <v>3986</v>
      </c>
      <c r="K226" s="18"/>
      <c r="L226" s="19">
        <f t="shared" si="2"/>
        <v>343165</v>
      </c>
      <c r="M226" s="8"/>
      <c r="N226" s="266"/>
    </row>
    <row r="227" spans="1:14" s="3" customFormat="1" ht="12.2" customHeight="1" x14ac:dyDescent="0.15">
      <c r="A227" s="1" t="s">
        <v>448</v>
      </c>
      <c r="B227" s="2" t="s">
        <v>346</v>
      </c>
      <c r="C227" s="2" t="s">
        <v>300</v>
      </c>
      <c r="D227" s="2" t="s">
        <v>431</v>
      </c>
      <c r="E227" s="6">
        <v>2700</v>
      </c>
      <c r="F227" s="18">
        <v>53195</v>
      </c>
      <c r="G227" s="18">
        <f>163+48703</f>
        <v>48866</v>
      </c>
      <c r="H227" s="18">
        <v>7210</v>
      </c>
      <c r="I227" s="18">
        <v>4344</v>
      </c>
      <c r="J227" s="18">
        <v>19532</v>
      </c>
      <c r="K227" s="18">
        <v>133</v>
      </c>
      <c r="L227" s="19">
        <f t="shared" si="2"/>
        <v>133280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1574752</v>
      </c>
      <c r="G230" s="41">
        <f>SUM(G216:G229)</f>
        <v>1105351</v>
      </c>
      <c r="H230" s="41">
        <f>SUM(H216:H229)</f>
        <v>190525</v>
      </c>
      <c r="I230" s="41">
        <f>SUM(I216:I229)</f>
        <v>214572</v>
      </c>
      <c r="J230" s="41">
        <f>SUM(J216:J229)</f>
        <v>79159</v>
      </c>
      <c r="K230" s="41">
        <f t="shared" si="3"/>
        <v>9222</v>
      </c>
      <c r="L230" s="41">
        <f t="shared" si="3"/>
        <v>3173581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1008366</v>
      </c>
      <c r="G234" s="18">
        <v>499953</v>
      </c>
      <c r="H234" s="18">
        <v>5770</v>
      </c>
      <c r="I234" s="18">
        <f>51157+102</f>
        <v>51259</v>
      </c>
      <c r="J234" s="18">
        <v>4750</v>
      </c>
      <c r="K234" s="18"/>
      <c r="L234" s="19">
        <f>SUM(F234:K234)</f>
        <v>1570098</v>
      </c>
      <c r="M234" s="8"/>
      <c r="N234" s="266"/>
    </row>
    <row r="235" spans="1:14" s="3" customFormat="1" ht="12.2" customHeight="1" x14ac:dyDescent="0.15">
      <c r="A235" s="1" t="s">
        <v>439</v>
      </c>
      <c r="B235" s="2" t="s">
        <v>350</v>
      </c>
      <c r="C235" s="2" t="s">
        <v>291</v>
      </c>
      <c r="D235" s="2" t="s">
        <v>431</v>
      </c>
      <c r="E235" s="6">
        <v>1200</v>
      </c>
      <c r="F235" s="18">
        <v>253137</v>
      </c>
      <c r="G235" s="18">
        <v>168047</v>
      </c>
      <c r="H235" s="18">
        <f>542303+10860</f>
        <v>553163</v>
      </c>
      <c r="I235" s="18">
        <v>3075</v>
      </c>
      <c r="J235" s="18">
        <v>183</v>
      </c>
      <c r="K235" s="18">
        <v>652</v>
      </c>
      <c r="L235" s="19">
        <f>SUM(F235:K235)</f>
        <v>978257</v>
      </c>
      <c r="M235" s="8"/>
      <c r="N235" s="266"/>
    </row>
    <row r="236" spans="1:14" s="3" customFormat="1" ht="12.2" customHeight="1" x14ac:dyDescent="0.15">
      <c r="A236" s="1" t="s">
        <v>440</v>
      </c>
      <c r="B236" s="2" t="s">
        <v>350</v>
      </c>
      <c r="C236" s="2" t="s">
        <v>292</v>
      </c>
      <c r="D236" s="2" t="s">
        <v>431</v>
      </c>
      <c r="E236" s="6">
        <v>1300</v>
      </c>
      <c r="F236" s="18"/>
      <c r="G236" s="18"/>
      <c r="H236" s="18">
        <v>18379</v>
      </c>
      <c r="I236" s="18"/>
      <c r="J236" s="18"/>
      <c r="K236" s="18"/>
      <c r="L236" s="19">
        <f>SUM(F236:K236)</f>
        <v>18379</v>
      </c>
      <c r="M236" s="8"/>
      <c r="N236" s="266"/>
    </row>
    <row r="237" spans="1:14" s="3" customFormat="1" ht="12.2" customHeight="1" x14ac:dyDescent="0.15">
      <c r="A237" s="1" t="s">
        <v>441</v>
      </c>
      <c r="B237" s="2" t="s">
        <v>350</v>
      </c>
      <c r="C237" s="2" t="s">
        <v>293</v>
      </c>
      <c r="D237" s="2" t="s">
        <v>431</v>
      </c>
      <c r="E237" s="6">
        <v>1400</v>
      </c>
      <c r="F237" s="18">
        <v>63511</v>
      </c>
      <c r="G237" s="18">
        <v>30109</v>
      </c>
      <c r="H237" s="18">
        <v>12728</v>
      </c>
      <c r="I237" s="18">
        <f>25413+438</f>
        <v>25851</v>
      </c>
      <c r="J237" s="18"/>
      <c r="K237" s="18">
        <v>2745</v>
      </c>
      <c r="L237" s="19">
        <f>SUM(F237:K237)</f>
        <v>134944</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276252</v>
      </c>
      <c r="G239" s="18">
        <v>135620</v>
      </c>
      <c r="H239" s="18">
        <v>10421</v>
      </c>
      <c r="I239" s="18">
        <v>2712</v>
      </c>
      <c r="J239" s="18"/>
      <c r="K239" s="18"/>
      <c r="L239" s="19">
        <f t="shared" ref="L239:L245" si="4">SUM(F239:K239)</f>
        <v>425005</v>
      </c>
      <c r="M239" s="8"/>
      <c r="N239" s="266"/>
    </row>
    <row r="240" spans="1:14" s="3" customFormat="1" ht="12.2" customHeight="1" x14ac:dyDescent="0.15">
      <c r="A240" s="1" t="s">
        <v>443</v>
      </c>
      <c r="B240" s="2" t="s">
        <v>350</v>
      </c>
      <c r="C240" s="2" t="s">
        <v>295</v>
      </c>
      <c r="D240" s="2" t="s">
        <v>431</v>
      </c>
      <c r="E240" s="6">
        <v>2200</v>
      </c>
      <c r="F240" s="18">
        <v>160027</v>
      </c>
      <c r="G240" s="18">
        <f>8537+69560</f>
        <v>78097</v>
      </c>
      <c r="H240" s="18">
        <v>15327</v>
      </c>
      <c r="I240" s="18">
        <f>39776+3490+3337</f>
        <v>46603</v>
      </c>
      <c r="J240" s="18">
        <f>59054+1215+8327</f>
        <v>68596</v>
      </c>
      <c r="K240" s="18"/>
      <c r="L240" s="19">
        <f t="shared" si="4"/>
        <v>368650</v>
      </c>
      <c r="M240" s="8"/>
      <c r="N240" s="266"/>
    </row>
    <row r="241" spans="1:14" s="3" customFormat="1" ht="12.2" customHeight="1" x14ac:dyDescent="0.15">
      <c r="A241" s="1" t="s">
        <v>444</v>
      </c>
      <c r="B241" s="2" t="s">
        <v>350</v>
      </c>
      <c r="C241" s="2" t="s">
        <v>296</v>
      </c>
      <c r="D241" s="2" t="s">
        <v>431</v>
      </c>
      <c r="E241" s="6">
        <v>2300</v>
      </c>
      <c r="F241" s="18">
        <v>106949</v>
      </c>
      <c r="G241" s="18">
        <f>2920+56358</f>
        <v>59278</v>
      </c>
      <c r="H241" s="18">
        <v>19564</v>
      </c>
      <c r="I241" s="18">
        <v>8422</v>
      </c>
      <c r="J241" s="18"/>
      <c r="K241" s="18">
        <v>4006</v>
      </c>
      <c r="L241" s="19">
        <f t="shared" si="4"/>
        <v>198219</v>
      </c>
      <c r="M241" s="8"/>
      <c r="N241" s="266"/>
    </row>
    <row r="242" spans="1:14" s="3" customFormat="1" ht="12.2" customHeight="1" x14ac:dyDescent="0.15">
      <c r="A242" s="1" t="s">
        <v>445</v>
      </c>
      <c r="B242" s="2" t="s">
        <v>350</v>
      </c>
      <c r="C242" s="2" t="s">
        <v>297</v>
      </c>
      <c r="D242" s="2" t="s">
        <v>431</v>
      </c>
      <c r="E242" s="6">
        <v>2400</v>
      </c>
      <c r="F242" s="18">
        <v>142509</v>
      </c>
      <c r="G242" s="18">
        <v>65261</v>
      </c>
      <c r="H242" s="18">
        <f>3293+102</f>
        <v>3395</v>
      </c>
      <c r="I242" s="18">
        <f>4265+94</f>
        <v>4359</v>
      </c>
      <c r="J242" s="18"/>
      <c r="K242" s="18">
        <v>3902</v>
      </c>
      <c r="L242" s="19">
        <f t="shared" si="4"/>
        <v>219426</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93346</v>
      </c>
      <c r="G244" s="18">
        <v>53322</v>
      </c>
      <c r="H244" s="18">
        <f>140333+119</f>
        <v>140452</v>
      </c>
      <c r="I244" s="18">
        <v>150365</v>
      </c>
      <c r="J244" s="18">
        <v>5980</v>
      </c>
      <c r="K244" s="18"/>
      <c r="L244" s="19">
        <f t="shared" si="4"/>
        <v>443465</v>
      </c>
      <c r="M244" s="8"/>
      <c r="N244" s="266"/>
    </row>
    <row r="245" spans="1:14" s="3" customFormat="1" ht="12.2" customHeight="1" x14ac:dyDescent="0.15">
      <c r="A245" s="1" t="s">
        <v>448</v>
      </c>
      <c r="B245" s="2" t="s">
        <v>350</v>
      </c>
      <c r="C245" s="2" t="s">
        <v>300</v>
      </c>
      <c r="D245" s="2" t="s">
        <v>431</v>
      </c>
      <c r="E245" s="6">
        <v>2700</v>
      </c>
      <c r="F245" s="18">
        <v>84413</v>
      </c>
      <c r="G245" s="18">
        <f>163+50179</f>
        <v>50342</v>
      </c>
      <c r="H245" s="18">
        <v>7211</v>
      </c>
      <c r="I245" s="18">
        <v>4344</v>
      </c>
      <c r="J245" s="18">
        <v>19532</v>
      </c>
      <c r="K245" s="18">
        <v>134</v>
      </c>
      <c r="L245" s="19">
        <f t="shared" si="4"/>
        <v>165976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2188510</v>
      </c>
      <c r="G248" s="41">
        <f t="shared" si="5"/>
        <v>1140029</v>
      </c>
      <c r="H248" s="41">
        <f t="shared" si="5"/>
        <v>786410</v>
      </c>
      <c r="I248" s="41">
        <f t="shared" si="5"/>
        <v>296990</v>
      </c>
      <c r="J248" s="41">
        <f t="shared" si="5"/>
        <v>99041</v>
      </c>
      <c r="K248" s="41">
        <f t="shared" si="5"/>
        <v>11439</v>
      </c>
      <c r="L248" s="41">
        <f t="shared" si="5"/>
        <v>4522419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6198898</v>
      </c>
      <c r="G258" s="41">
        <f t="shared" si="8"/>
        <v>3364696</v>
      </c>
      <c r="H258" s="41">
        <f t="shared" si="8"/>
        <v>1202041</v>
      </c>
      <c r="I258" s="41">
        <f t="shared" si="8"/>
        <v>707174</v>
      </c>
      <c r="J258" s="41">
        <f t="shared" si="8"/>
        <v>301640</v>
      </c>
      <c r="K258" s="41">
        <f t="shared" si="8"/>
        <v>25720</v>
      </c>
      <c r="L258" s="41">
        <f t="shared" si="8"/>
        <v>11800169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100000</v>
      </c>
      <c r="L271" s="41">
        <f t="shared" si="9"/>
        <v>100000</v>
      </c>
      <c r="M271" s="8"/>
      <c r="N271" s="266"/>
    </row>
    <row r="272" spans="1:14" s="34" customFormat="1" ht="12.2" customHeight="1" thickTop="1" x14ac:dyDescent="0.2">
      <c r="A272" s="43" t="s">
        <v>464</v>
      </c>
      <c r="B272" s="40">
        <v>10</v>
      </c>
      <c r="C272" s="40">
        <v>18</v>
      </c>
      <c r="D272" s="39" t="s">
        <v>431</v>
      </c>
      <c r="E272" s="40"/>
      <c r="F272" s="42">
        <f t="shared" ref="F272:L272" si="11">F258+F271</f>
        <v>6198898</v>
      </c>
      <c r="G272" s="42">
        <f t="shared" si="11"/>
        <v>3364696</v>
      </c>
      <c r="H272" s="42">
        <f t="shared" si="11"/>
        <v>1202041</v>
      </c>
      <c r="I272" s="42">
        <f t="shared" si="11"/>
        <v>707174</v>
      </c>
      <c r="J272" s="42">
        <f t="shared" si="11"/>
        <v>301640</v>
      </c>
      <c r="K272" s="42">
        <f t="shared" si="11"/>
        <v>125720</v>
      </c>
      <c r="L272" s="42">
        <f t="shared" si="11"/>
        <v>11900169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35941</v>
      </c>
      <c r="G277" s="18"/>
      <c r="H277" s="18"/>
      <c r="I277" s="18"/>
      <c r="J277" s="18"/>
      <c r="K277" s="18"/>
      <c r="L277" s="19">
        <f>SUM(F277:K277)</f>
        <v>35941</v>
      </c>
      <c r="M277" s="8"/>
      <c r="N277" s="266"/>
    </row>
    <row r="278" spans="1:14" s="3" customFormat="1" ht="12.2" customHeight="1" x14ac:dyDescent="0.15">
      <c r="A278" s="1" t="s">
        <v>439</v>
      </c>
      <c r="B278" s="2" t="s">
        <v>357</v>
      </c>
      <c r="C278" s="2" t="s">
        <v>291</v>
      </c>
      <c r="D278" s="2" t="s">
        <v>431</v>
      </c>
      <c r="E278" s="6">
        <v>1200</v>
      </c>
      <c r="F278" s="18">
        <v>19745</v>
      </c>
      <c r="G278" s="18"/>
      <c r="H278" s="18">
        <v>28853</v>
      </c>
      <c r="I278" s="18">
        <v>15224</v>
      </c>
      <c r="J278" s="18">
        <v>2646</v>
      </c>
      <c r="K278" s="18"/>
      <c r="L278" s="19">
        <f>SUM(F278:K278)</f>
        <v>66468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v>500</v>
      </c>
      <c r="J283" s="18">
        <v>9730</v>
      </c>
      <c r="K283" s="18"/>
      <c r="L283" s="19">
        <f t="shared" si="12"/>
        <v>10230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55686</v>
      </c>
      <c r="G291" s="42">
        <f t="shared" si="13"/>
        <v>0</v>
      </c>
      <c r="H291" s="42">
        <f t="shared" si="13"/>
        <v>28853</v>
      </c>
      <c r="I291" s="42">
        <f t="shared" si="13"/>
        <v>15724</v>
      </c>
      <c r="J291" s="42">
        <f t="shared" si="13"/>
        <v>12376</v>
      </c>
      <c r="K291" s="42">
        <f t="shared" si="13"/>
        <v>0</v>
      </c>
      <c r="L291" s="41">
        <f t="shared" si="13"/>
        <v>112639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v>19745</v>
      </c>
      <c r="G297" s="18"/>
      <c r="H297" s="18">
        <v>28853</v>
      </c>
      <c r="I297" s="18">
        <v>15224</v>
      </c>
      <c r="J297" s="18">
        <v>2646</v>
      </c>
      <c r="K297" s="18"/>
      <c r="L297" s="19">
        <f>SUM(F297:K297)</f>
        <v>66468</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v>500</v>
      </c>
      <c r="J302" s="18">
        <v>9730</v>
      </c>
      <c r="K302" s="18"/>
      <c r="L302" s="19">
        <f t="shared" si="14"/>
        <v>10230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19745</v>
      </c>
      <c r="G310" s="42">
        <f t="shared" si="15"/>
        <v>0</v>
      </c>
      <c r="H310" s="42">
        <f t="shared" si="15"/>
        <v>28853</v>
      </c>
      <c r="I310" s="42">
        <f t="shared" si="15"/>
        <v>15724</v>
      </c>
      <c r="J310" s="42">
        <f t="shared" si="15"/>
        <v>12376</v>
      </c>
      <c r="K310" s="42">
        <f t="shared" si="15"/>
        <v>0</v>
      </c>
      <c r="L310" s="41">
        <f t="shared" si="15"/>
        <v>76698</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v>19745</v>
      </c>
      <c r="G316" s="18"/>
      <c r="H316" s="18">
        <v>28853</v>
      </c>
      <c r="I316" s="18">
        <v>15224</v>
      </c>
      <c r="J316" s="18">
        <v>2646</v>
      </c>
      <c r="K316" s="18"/>
      <c r="L316" s="19">
        <f>SUM(F316:K316)</f>
        <v>66468</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v>12269</v>
      </c>
      <c r="I318" s="18"/>
      <c r="J318" s="18"/>
      <c r="K318" s="18"/>
      <c r="L318" s="19">
        <f>SUM(F318:K318)</f>
        <v>12269</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v>500</v>
      </c>
      <c r="J321" s="18">
        <v>9730</v>
      </c>
      <c r="K321" s="18"/>
      <c r="L321" s="19">
        <f t="shared" si="16"/>
        <v>10230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19745</v>
      </c>
      <c r="G329" s="42">
        <f t="shared" si="17"/>
        <v>0</v>
      </c>
      <c r="H329" s="42">
        <f t="shared" si="17"/>
        <v>41122</v>
      </c>
      <c r="I329" s="42">
        <f t="shared" si="17"/>
        <v>15724</v>
      </c>
      <c r="J329" s="42">
        <f t="shared" si="17"/>
        <v>12376</v>
      </c>
      <c r="K329" s="42">
        <f t="shared" si="17"/>
        <v>0</v>
      </c>
      <c r="L329" s="41">
        <f t="shared" si="17"/>
        <v>88967</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95176</v>
      </c>
      <c r="G339" s="41">
        <f t="shared" si="20"/>
        <v>0</v>
      </c>
      <c r="H339" s="41">
        <f t="shared" si="20"/>
        <v>98828</v>
      </c>
      <c r="I339" s="41">
        <f t="shared" si="20"/>
        <v>47172</v>
      </c>
      <c r="J339" s="41">
        <f t="shared" si="20"/>
        <v>37128</v>
      </c>
      <c r="K339" s="41">
        <f t="shared" si="20"/>
        <v>0</v>
      </c>
      <c r="L339" s="41">
        <f t="shared" si="20"/>
        <v>278304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95176</v>
      </c>
      <c r="G353" s="41">
        <f>G339</f>
        <v>0</v>
      </c>
      <c r="H353" s="41">
        <f>H339</f>
        <v>98828</v>
      </c>
      <c r="I353" s="41">
        <f>I339</f>
        <v>47172</v>
      </c>
      <c r="J353" s="41">
        <f>J339</f>
        <v>37128</v>
      </c>
      <c r="K353" s="47">
        <f>K339+K352</f>
        <v>0</v>
      </c>
      <c r="L353" s="41">
        <f>L339+L352</f>
        <v>278304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28445</v>
      </c>
      <c r="G359" s="18"/>
      <c r="H359" s="18">
        <v>740</v>
      </c>
      <c r="I359" s="18">
        <v>22100</v>
      </c>
      <c r="J359" s="18"/>
      <c r="K359" s="18"/>
      <c r="L359" s="13">
        <f>SUM(F359:K359)</f>
        <v>51285</v>
      </c>
      <c r="M359" s="8"/>
      <c r="N359" s="266"/>
    </row>
    <row r="360" spans="1:22" s="3" customFormat="1" ht="12.2" customHeight="1" x14ac:dyDescent="0.15">
      <c r="A360" s="1" t="s">
        <v>542</v>
      </c>
      <c r="B360" s="2" t="s">
        <v>366</v>
      </c>
      <c r="C360" s="6">
        <v>2</v>
      </c>
      <c r="D360" s="2" t="s">
        <v>431</v>
      </c>
      <c r="E360" s="6"/>
      <c r="F360" s="18">
        <v>28446</v>
      </c>
      <c r="G360" s="18"/>
      <c r="H360" s="18">
        <v>740</v>
      </c>
      <c r="I360" s="18">
        <v>22099</v>
      </c>
      <c r="J360" s="18"/>
      <c r="K360" s="18"/>
      <c r="L360" s="19">
        <f>SUM(F360:K360)</f>
        <v>51285</v>
      </c>
      <c r="M360" s="8"/>
      <c r="N360" s="266"/>
    </row>
    <row r="361" spans="1:22" s="3" customFormat="1" ht="12.2" customHeight="1" x14ac:dyDescent="0.15">
      <c r="A361" s="3" t="s">
        <v>543</v>
      </c>
      <c r="B361" s="2" t="s">
        <v>366</v>
      </c>
      <c r="C361" s="6">
        <v>3</v>
      </c>
      <c r="D361" s="2" t="s">
        <v>431</v>
      </c>
      <c r="E361" s="6"/>
      <c r="F361" s="18">
        <v>28446</v>
      </c>
      <c r="G361" s="18"/>
      <c r="H361" s="18">
        <v>740</v>
      </c>
      <c r="I361" s="18">
        <v>22099</v>
      </c>
      <c r="J361" s="18"/>
      <c r="K361" s="18">
        <v>1293</v>
      </c>
      <c r="L361" s="19">
        <f>SUM(F361:K361)</f>
        <v>52578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85337</v>
      </c>
      <c r="G363" s="47">
        <f t="shared" si="22"/>
        <v>0</v>
      </c>
      <c r="H363" s="47">
        <f t="shared" si="22"/>
        <v>2220</v>
      </c>
      <c r="I363" s="47">
        <f t="shared" si="22"/>
        <v>66298</v>
      </c>
      <c r="J363" s="47">
        <f t="shared" si="22"/>
        <v>0</v>
      </c>
      <c r="K363" s="47">
        <f t="shared" si="22"/>
        <v>1293</v>
      </c>
      <c r="L363" s="47">
        <f t="shared" si="22"/>
        <v>155148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21912</v>
      </c>
      <c r="G368" s="18">
        <v>21912</v>
      </c>
      <c r="H368" s="18">
        <v>21912</v>
      </c>
      <c r="I368" s="56">
        <f>SUM(F368:H368)</f>
        <v>65736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187</v>
      </c>
      <c r="G369" s="63">
        <v>187</v>
      </c>
      <c r="H369" s="63">
        <v>188</v>
      </c>
      <c r="I369" s="56">
        <f>SUM(F369:H369)</f>
        <v>562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22099</v>
      </c>
      <c r="G370" s="47">
        <f>SUM(G368:G369)</f>
        <v>22099</v>
      </c>
      <c r="H370" s="47">
        <f>SUM(H368:H369)</f>
        <v>22100</v>
      </c>
      <c r="I370" s="47">
        <f>SUM(I368:I369)</f>
        <v>66298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100000</v>
      </c>
      <c r="H390" s="18"/>
      <c r="I390" s="18"/>
      <c r="J390" s="24" t="s">
        <v>288</v>
      </c>
      <c r="K390" s="24" t="s">
        <v>288</v>
      </c>
      <c r="L390" s="56">
        <f t="shared" si="25"/>
        <v>100000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13286</v>
      </c>
      <c r="I393" s="18"/>
      <c r="J393" s="24" t="s">
        <v>288</v>
      </c>
      <c r="K393" s="24" t="s">
        <v>288</v>
      </c>
      <c r="L393" s="56">
        <f t="shared" si="25"/>
        <v>13286</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100000</v>
      </c>
      <c r="H394" s="139">
        <f>SUM(H388:H393)</f>
        <v>13286</v>
      </c>
      <c r="I394" s="65">
        <f>SUM(I388:I393)</f>
        <v>0</v>
      </c>
      <c r="J394" s="45" t="s">
        <v>288</v>
      </c>
      <c r="K394" s="45" t="s">
        <v>288</v>
      </c>
      <c r="L394" s="47">
        <f>SUM(L388:L393)</f>
        <v>113286</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13286</v>
      </c>
      <c r="I409" s="47">
        <f>I394+I402+I408</f>
        <v>0</v>
      </c>
      <c r="J409" s="24" t="s">
        <v>288</v>
      </c>
      <c r="K409" s="24" t="s">
        <v>288</v>
      </c>
      <c r="L409" s="47">
        <f>L394+L402+L408</f>
        <v>113286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231696</v>
      </c>
      <c r="I416" s="18"/>
      <c r="J416" s="18"/>
      <c r="K416" s="18"/>
      <c r="L416" s="56">
        <f t="shared" si="27"/>
        <v>231696</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v>150</v>
      </c>
      <c r="I419" s="18"/>
      <c r="J419" s="18"/>
      <c r="K419" s="18"/>
      <c r="L419" s="56">
        <f t="shared" si="27"/>
        <v>150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231846</v>
      </c>
      <c r="I420" s="139">
        <f t="shared" si="28"/>
        <v>0</v>
      </c>
      <c r="J420" s="139">
        <f t="shared" si="28"/>
        <v>0</v>
      </c>
      <c r="K420" s="139">
        <f t="shared" si="28"/>
        <v>0</v>
      </c>
      <c r="L420" s="47">
        <f t="shared" si="28"/>
        <v>231846</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231846</v>
      </c>
      <c r="I435" s="47">
        <f t="shared" si="32"/>
        <v>0</v>
      </c>
      <c r="J435" s="47">
        <f t="shared" si="32"/>
        <v>0</v>
      </c>
      <c r="K435" s="47">
        <f t="shared" si="32"/>
        <v>0</v>
      </c>
      <c r="L435" s="47">
        <f t="shared" si="32"/>
        <v>231846</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965747</v>
      </c>
      <c r="G443" s="18">
        <v>131037</v>
      </c>
      <c r="H443" s="18"/>
      <c r="I443" s="56">
        <f t="shared" si="33"/>
        <v>1096784</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965747</v>
      </c>
      <c r="G447" s="13">
        <f>SUM(G440:G446)</f>
        <v>131037</v>
      </c>
      <c r="H447" s="13">
        <f>SUM(H440:H446)</f>
        <v>0</v>
      </c>
      <c r="I447" s="13">
        <f>SUM(I440:I446)</f>
        <v>1096784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231696</v>
      </c>
      <c r="G449" s="18"/>
      <c r="H449" s="18"/>
      <c r="I449" s="56">
        <f>SUM(F449:H449)</f>
        <v>231696</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231696</v>
      </c>
      <c r="G453" s="72">
        <f>SUM(G449:G452)</f>
        <v>0</v>
      </c>
      <c r="H453" s="72">
        <f>SUM(H449:H452)</f>
        <v>0</v>
      </c>
      <c r="I453" s="72">
        <f>SUM(I449:I452)</f>
        <v>231696</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734051</v>
      </c>
      <c r="G460" s="18">
        <v>131037</v>
      </c>
      <c r="H460" s="18"/>
      <c r="I460" s="56">
        <f t="shared" si="34"/>
        <v>865088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734051</v>
      </c>
      <c r="G461" s="83">
        <f>SUM(G455:G460)</f>
        <v>131037</v>
      </c>
      <c r="H461" s="83">
        <f>SUM(H455:H460)</f>
        <v>0</v>
      </c>
      <c r="I461" s="83">
        <f>SUM(I455:I460)</f>
        <v>865088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965747</v>
      </c>
      <c r="G462" s="42">
        <f>G453+G461</f>
        <v>131037</v>
      </c>
      <c r="H462" s="42">
        <f>H453+H461</f>
        <v>0</v>
      </c>
      <c r="I462" s="42">
        <f>I453+I461</f>
        <v>1096784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777728</v>
      </c>
      <c r="G466" s="18">
        <v>37704</v>
      </c>
      <c r="H466" s="18">
        <v>0</v>
      </c>
      <c r="I466" s="18">
        <v>0</v>
      </c>
      <c r="J466" s="18">
        <v>983648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12229522</v>
      </c>
      <c r="G469" s="18">
        <v>130833</v>
      </c>
      <c r="H469" s="18">
        <v>278304</v>
      </c>
      <c r="I469" s="18">
        <v>0</v>
      </c>
      <c r="J469" s="18">
        <v>113286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12229522</v>
      </c>
      <c r="G471" s="53">
        <f>SUM(G469:G470)</f>
        <v>130833</v>
      </c>
      <c r="H471" s="53">
        <f>SUM(H469:H470)</f>
        <v>278304</v>
      </c>
      <c r="I471" s="53">
        <f>SUM(I469:I470)</f>
        <v>0</v>
      </c>
      <c r="J471" s="53">
        <f>SUM(J469:J470)</f>
        <v>113286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11900169</v>
      </c>
      <c r="G473" s="18">
        <v>155148</v>
      </c>
      <c r="H473" s="18">
        <v>278304</v>
      </c>
      <c r="I473" s="18">
        <v>0</v>
      </c>
      <c r="J473" s="18">
        <v>231846</v>
      </c>
      <c r="K473" s="24" t="s">
        <v>288</v>
      </c>
      <c r="L473" s="24" t="s">
        <v>288</v>
      </c>
      <c r="N473" s="265"/>
    </row>
    <row r="474" spans="1:14" s="52" customFormat="1" ht="12.2" customHeight="1" x14ac:dyDescent="0.2">
      <c r="A474" s="93" t="s">
        <v>613</v>
      </c>
      <c r="B474" s="75">
        <v>19</v>
      </c>
      <c r="C474" s="80">
        <v>6</v>
      </c>
      <c r="D474" s="2" t="s">
        <v>432</v>
      </c>
      <c r="E474" s="80"/>
      <c r="F474" s="18">
        <v>36016</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11936185</v>
      </c>
      <c r="G475" s="53">
        <f>SUM(G473:G474)</f>
        <v>155148</v>
      </c>
      <c r="H475" s="53">
        <f>SUM(H473:H474)</f>
        <v>278304</v>
      </c>
      <c r="I475" s="53">
        <f>SUM(I473:I474)</f>
        <v>0</v>
      </c>
      <c r="J475" s="53">
        <f>SUM(J473:J474)</f>
        <v>231846</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1071065</v>
      </c>
      <c r="G477" s="53">
        <f>(G466+G471)- G475</f>
        <v>13389</v>
      </c>
      <c r="H477" s="53">
        <f>(H466+H471)- H475</f>
        <v>0</v>
      </c>
      <c r="I477" s="53">
        <f>(I466+I471)- I475</f>
        <v>0</v>
      </c>
      <c r="J477" s="53">
        <f>(J466+J471)- J475</f>
        <v>865088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369319+19745</f>
        <v>389064</v>
      </c>
      <c r="G522" s="18">
        <v>163104</v>
      </c>
      <c r="H522" s="18">
        <f>17740+28853</f>
        <v>46593</v>
      </c>
      <c r="I522" s="18">
        <f>6578+15224</f>
        <v>21802</v>
      </c>
      <c r="J522" s="18">
        <f>101+2646</f>
        <v>2747</v>
      </c>
      <c r="K522" s="18">
        <v>652</v>
      </c>
      <c r="L522" s="88">
        <f>SUM(F522:K522)</f>
        <v>623962</v>
      </c>
      <c r="N522" s="265"/>
    </row>
    <row r="523" spans="1:14" s="52" customFormat="1" ht="12.2" customHeight="1" x14ac:dyDescent="0.2">
      <c r="A523" s="22" t="s">
        <v>634</v>
      </c>
      <c r="B523" s="105">
        <v>21</v>
      </c>
      <c r="C523" s="115">
        <v>2</v>
      </c>
      <c r="D523" s="2" t="s">
        <v>432</v>
      </c>
      <c r="E523" s="115"/>
      <c r="F523" s="18">
        <f>183739+19745</f>
        <v>203484</v>
      </c>
      <c r="G523" s="18">
        <v>163104</v>
      </c>
      <c r="H523" s="18">
        <f>15855+28853</f>
        <v>44708</v>
      </c>
      <c r="I523" s="18">
        <f>3169+15224</f>
        <v>18393</v>
      </c>
      <c r="J523" s="18">
        <f>122+2646</f>
        <v>2768</v>
      </c>
      <c r="K523" s="18">
        <v>652</v>
      </c>
      <c r="L523" s="88">
        <f>SUM(F523:K523)</f>
        <v>433109</v>
      </c>
      <c r="N523" s="265"/>
    </row>
    <row r="524" spans="1:14" s="52" customFormat="1" ht="12.2" customHeight="1" thickBot="1" x14ac:dyDescent="0.25">
      <c r="A524" s="22" t="s">
        <v>635</v>
      </c>
      <c r="B524" s="105">
        <v>21</v>
      </c>
      <c r="C524" s="115">
        <v>3</v>
      </c>
      <c r="D524" s="2" t="s">
        <v>432</v>
      </c>
      <c r="E524" s="115"/>
      <c r="F524" s="18">
        <f>253137+19745</f>
        <v>272882</v>
      </c>
      <c r="G524" s="18">
        <v>168047</v>
      </c>
      <c r="H524" s="18">
        <f>553163+28853</f>
        <v>582016</v>
      </c>
      <c r="I524" s="18">
        <f>3075+15224</f>
        <v>18299</v>
      </c>
      <c r="J524" s="18">
        <f>183+2646</f>
        <v>2829</v>
      </c>
      <c r="K524" s="18">
        <v>652</v>
      </c>
      <c r="L524" s="88">
        <f>SUM(F524:K524)</f>
        <v>1044725</v>
      </c>
      <c r="N524" s="265"/>
    </row>
    <row r="525" spans="1:14" s="52" customFormat="1" ht="12.2" customHeight="1" thickTop="1" x14ac:dyDescent="0.2">
      <c r="A525" s="139" t="s">
        <v>63</v>
      </c>
      <c r="B525" s="107">
        <v>21</v>
      </c>
      <c r="C525" s="195">
        <v>4</v>
      </c>
      <c r="D525" s="196" t="s">
        <v>432</v>
      </c>
      <c r="E525" s="195"/>
      <c r="F525" s="108">
        <f>SUM(F522:F524)</f>
        <v>865430</v>
      </c>
      <c r="G525" s="108">
        <f t="shared" ref="G525:L525" si="36">SUM(G522:G524)</f>
        <v>494255</v>
      </c>
      <c r="H525" s="108">
        <f t="shared" si="36"/>
        <v>673317</v>
      </c>
      <c r="I525" s="108">
        <f t="shared" si="36"/>
        <v>58494</v>
      </c>
      <c r="J525" s="108">
        <f t="shared" si="36"/>
        <v>8344</v>
      </c>
      <c r="K525" s="108">
        <f t="shared" si="36"/>
        <v>1956</v>
      </c>
      <c r="L525" s="89">
        <f t="shared" si="36"/>
        <v>2101796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95188</v>
      </c>
      <c r="G527" s="18">
        <v>131631</v>
      </c>
      <c r="H527" s="18">
        <v>4866</v>
      </c>
      <c r="I527" s="18">
        <v>897</v>
      </c>
      <c r="J527" s="18"/>
      <c r="K527" s="18"/>
      <c r="L527" s="88">
        <f>SUM(F527:K527)</f>
        <v>232582</v>
      </c>
      <c r="M527" s="8"/>
      <c r="N527" s="266"/>
    </row>
    <row r="528" spans="1:14" s="3" customFormat="1" ht="12.2" customHeight="1" x14ac:dyDescent="0.15">
      <c r="A528" s="22" t="s">
        <v>634</v>
      </c>
      <c r="B528" s="105">
        <v>21</v>
      </c>
      <c r="C528" s="115">
        <v>6</v>
      </c>
      <c r="D528" s="2" t="s">
        <v>432</v>
      </c>
      <c r="E528" s="115"/>
      <c r="F528" s="18">
        <v>95188</v>
      </c>
      <c r="G528" s="18">
        <v>131631</v>
      </c>
      <c r="H528" s="18">
        <v>4866</v>
      </c>
      <c r="I528" s="18">
        <v>897</v>
      </c>
      <c r="J528" s="18"/>
      <c r="K528" s="18"/>
      <c r="L528" s="88">
        <f>SUM(F528:K528)</f>
        <v>232582</v>
      </c>
      <c r="M528" s="8"/>
      <c r="N528" s="266"/>
    </row>
    <row r="529" spans="1:14" s="3" customFormat="1" ht="12.2" customHeight="1" thickBot="1" x14ac:dyDescent="0.2">
      <c r="A529" s="22" t="s">
        <v>635</v>
      </c>
      <c r="B529" s="118">
        <v>21</v>
      </c>
      <c r="C529" s="118">
        <v>7</v>
      </c>
      <c r="D529" s="2" t="s">
        <v>432</v>
      </c>
      <c r="E529" s="118"/>
      <c r="F529" s="18">
        <v>95188</v>
      </c>
      <c r="G529" s="18">
        <v>135621</v>
      </c>
      <c r="H529" s="18">
        <v>4866</v>
      </c>
      <c r="I529" s="18">
        <v>898</v>
      </c>
      <c r="J529" s="18"/>
      <c r="K529" s="18"/>
      <c r="L529" s="88">
        <f>SUM(F529:K529)</f>
        <v>236573</v>
      </c>
      <c r="M529" s="8"/>
      <c r="N529" s="266"/>
    </row>
    <row r="530" spans="1:14" s="3" customFormat="1" ht="12.2" customHeight="1" thickTop="1" x14ac:dyDescent="0.15">
      <c r="A530" s="139" t="s">
        <v>65</v>
      </c>
      <c r="B530" s="107">
        <v>21</v>
      </c>
      <c r="C530" s="107">
        <v>8</v>
      </c>
      <c r="D530" s="158" t="s">
        <v>432</v>
      </c>
      <c r="E530" s="107"/>
      <c r="F530" s="89">
        <f>SUM(F527:F529)</f>
        <v>285564</v>
      </c>
      <c r="G530" s="89">
        <f t="shared" ref="G530:L530" si="37">SUM(G527:G529)</f>
        <v>398883</v>
      </c>
      <c r="H530" s="89">
        <f t="shared" si="37"/>
        <v>14598</v>
      </c>
      <c r="I530" s="89">
        <f t="shared" si="37"/>
        <v>2692</v>
      </c>
      <c r="J530" s="89">
        <f t="shared" si="37"/>
        <v>0</v>
      </c>
      <c r="K530" s="89">
        <f t="shared" si="37"/>
        <v>0</v>
      </c>
      <c r="L530" s="89">
        <f t="shared" si="37"/>
        <v>701737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32297</v>
      </c>
      <c r="G532" s="18">
        <v>14368</v>
      </c>
      <c r="H532" s="18"/>
      <c r="I532" s="18"/>
      <c r="J532" s="18"/>
      <c r="K532" s="18"/>
      <c r="L532" s="88">
        <f>SUM(F532:K532)</f>
        <v>46665</v>
      </c>
      <c r="M532" s="8"/>
      <c r="N532" s="266"/>
    </row>
    <row r="533" spans="1:14" s="3" customFormat="1" ht="12.2" customHeight="1" x14ac:dyDescent="0.15">
      <c r="A533" s="22" t="s">
        <v>634</v>
      </c>
      <c r="B533" s="105">
        <v>21</v>
      </c>
      <c r="C533" s="105">
        <v>10</v>
      </c>
      <c r="D533" s="2" t="s">
        <v>432</v>
      </c>
      <c r="E533" s="105"/>
      <c r="F533" s="18">
        <v>32297</v>
      </c>
      <c r="G533" s="18">
        <v>14369</v>
      </c>
      <c r="H533" s="18"/>
      <c r="I533" s="18"/>
      <c r="J533" s="18"/>
      <c r="K533" s="18"/>
      <c r="L533" s="88">
        <f>SUM(F533:K533)</f>
        <v>46666</v>
      </c>
      <c r="M533" s="8"/>
      <c r="N533" s="266"/>
    </row>
    <row r="534" spans="1:14" s="3" customFormat="1" ht="12.2" customHeight="1" thickBot="1" x14ac:dyDescent="0.2">
      <c r="A534" s="22" t="s">
        <v>635</v>
      </c>
      <c r="B534" s="105">
        <v>21</v>
      </c>
      <c r="C534" s="105">
        <v>11</v>
      </c>
      <c r="D534" s="2" t="s">
        <v>432</v>
      </c>
      <c r="E534" s="105"/>
      <c r="F534" s="18">
        <v>32297</v>
      </c>
      <c r="G534" s="18">
        <v>14369</v>
      </c>
      <c r="H534" s="18"/>
      <c r="I534" s="18"/>
      <c r="J534" s="18"/>
      <c r="K534" s="18"/>
      <c r="L534" s="88">
        <f>SUM(F534:K534)</f>
        <v>46666</v>
      </c>
      <c r="M534" s="8"/>
      <c r="N534" s="266"/>
    </row>
    <row r="535" spans="1:14" s="3" customFormat="1" ht="12.2" customHeight="1" thickTop="1" x14ac:dyDescent="0.15">
      <c r="A535" s="139" t="s">
        <v>67</v>
      </c>
      <c r="B535" s="107">
        <v>21</v>
      </c>
      <c r="C535" s="107">
        <v>12</v>
      </c>
      <c r="D535" s="158" t="s">
        <v>432</v>
      </c>
      <c r="E535" s="107"/>
      <c r="F535" s="89">
        <f>SUM(F532:F534)</f>
        <v>96891</v>
      </c>
      <c r="G535" s="89">
        <f t="shared" ref="G535:L535" si="38">SUM(G532:G534)</f>
        <v>43106</v>
      </c>
      <c r="H535" s="89">
        <f t="shared" si="38"/>
        <v>0</v>
      </c>
      <c r="I535" s="89">
        <f t="shared" si="38"/>
        <v>0</v>
      </c>
      <c r="J535" s="89">
        <f t="shared" si="38"/>
        <v>0</v>
      </c>
      <c r="K535" s="89">
        <f t="shared" si="38"/>
        <v>0</v>
      </c>
      <c r="L535" s="89">
        <f t="shared" si="38"/>
        <v>139997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35127</v>
      </c>
      <c r="G542" s="18"/>
      <c r="H542" s="18"/>
      <c r="I542" s="18"/>
      <c r="J542" s="18"/>
      <c r="K542" s="18"/>
      <c r="L542" s="88">
        <f>SUM(F542:K542)</f>
        <v>35127</v>
      </c>
      <c r="M542" s="8"/>
      <c r="N542" s="266"/>
    </row>
    <row r="543" spans="1:14" s="3" customFormat="1" ht="12.2" customHeight="1" x14ac:dyDescent="0.15">
      <c r="A543" s="22" t="s">
        <v>634</v>
      </c>
      <c r="B543" s="105">
        <v>21</v>
      </c>
      <c r="C543" s="105">
        <v>18</v>
      </c>
      <c r="D543" s="2" t="s">
        <v>432</v>
      </c>
      <c r="E543" s="105"/>
      <c r="F543" s="18">
        <v>19515</v>
      </c>
      <c r="G543" s="18"/>
      <c r="H543" s="18"/>
      <c r="I543" s="18"/>
      <c r="J543" s="18"/>
      <c r="K543" s="18"/>
      <c r="L543" s="88">
        <f>SUM(F543:K543)</f>
        <v>19515</v>
      </c>
      <c r="M543" s="8"/>
      <c r="N543" s="266"/>
    </row>
    <row r="544" spans="1:14" s="3" customFormat="1" ht="12.2" customHeight="1" thickBot="1" x14ac:dyDescent="0.2">
      <c r="A544" s="22" t="s">
        <v>635</v>
      </c>
      <c r="B544" s="105">
        <v>21</v>
      </c>
      <c r="C544" s="105">
        <v>19</v>
      </c>
      <c r="D544" s="2" t="s">
        <v>432</v>
      </c>
      <c r="E544" s="105"/>
      <c r="F544" s="18">
        <v>23419</v>
      </c>
      <c r="G544" s="18"/>
      <c r="H544" s="18"/>
      <c r="I544" s="18"/>
      <c r="J544" s="18"/>
      <c r="K544" s="18"/>
      <c r="L544" s="88">
        <f>SUM(F544:K544)</f>
        <v>23419</v>
      </c>
      <c r="M544" s="8"/>
      <c r="N544" s="266"/>
    </row>
    <row r="545" spans="1:14" s="3" customFormat="1" ht="12.2" customHeight="1" thickTop="1" thickBot="1" x14ac:dyDescent="0.2">
      <c r="A545" s="130" t="s">
        <v>71</v>
      </c>
      <c r="B545" s="191">
        <v>21</v>
      </c>
      <c r="C545" s="191">
        <v>20</v>
      </c>
      <c r="D545" s="192" t="s">
        <v>432</v>
      </c>
      <c r="E545" s="191"/>
      <c r="F545" s="193">
        <f>SUM(F542:F544)</f>
        <v>78061</v>
      </c>
      <c r="G545" s="193">
        <f t="shared" ref="G545:L545" si="40">SUM(G542:G544)</f>
        <v>0</v>
      </c>
      <c r="H545" s="193">
        <f t="shared" si="40"/>
        <v>0</v>
      </c>
      <c r="I545" s="193">
        <f t="shared" si="40"/>
        <v>0</v>
      </c>
      <c r="J545" s="193">
        <f t="shared" si="40"/>
        <v>0</v>
      </c>
      <c r="K545" s="193">
        <f t="shared" si="40"/>
        <v>0</v>
      </c>
      <c r="L545" s="193">
        <f t="shared" si="40"/>
        <v>78061</v>
      </c>
      <c r="M545" s="8"/>
      <c r="N545" s="266"/>
    </row>
    <row r="546" spans="1:14" s="3" customFormat="1" ht="12.2" customHeight="1" thickTop="1" x14ac:dyDescent="0.15">
      <c r="A546" s="98" t="s">
        <v>72</v>
      </c>
      <c r="B546" s="107">
        <v>21</v>
      </c>
      <c r="C546" s="107">
        <v>21</v>
      </c>
      <c r="D546" s="158" t="s">
        <v>432</v>
      </c>
      <c r="E546" s="107"/>
      <c r="F546" s="89">
        <f>F525+F530+F535+F540+F545</f>
        <v>1325946</v>
      </c>
      <c r="G546" s="89">
        <f t="shared" ref="G546:L546" si="41">G525+G530+G535+G540+G545</f>
        <v>936244</v>
      </c>
      <c r="H546" s="89">
        <f t="shared" si="41"/>
        <v>687915</v>
      </c>
      <c r="I546" s="89">
        <f t="shared" si="41"/>
        <v>61186</v>
      </c>
      <c r="J546" s="89">
        <f t="shared" si="41"/>
        <v>8344</v>
      </c>
      <c r="K546" s="89">
        <f t="shared" si="41"/>
        <v>1956</v>
      </c>
      <c r="L546" s="89">
        <f t="shared" si="41"/>
        <v>3021591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623962</v>
      </c>
      <c r="G550" s="87">
        <f>L527</f>
        <v>232582</v>
      </c>
      <c r="H550" s="87">
        <f>L532</f>
        <v>46665</v>
      </c>
      <c r="I550" s="87">
        <f>L537</f>
        <v>0</v>
      </c>
      <c r="J550" s="87">
        <f>L542</f>
        <v>35127</v>
      </c>
      <c r="K550" s="87">
        <f>SUM(F550:J550)</f>
        <v>938336</v>
      </c>
      <c r="L550" s="24" t="s">
        <v>288</v>
      </c>
      <c r="M550" s="8"/>
      <c r="N550" s="266"/>
    </row>
    <row r="551" spans="1:14" s="3" customFormat="1" ht="12.2" customHeight="1" x14ac:dyDescent="0.15">
      <c r="A551" s="22" t="s">
        <v>634</v>
      </c>
      <c r="B551" s="75">
        <v>21</v>
      </c>
      <c r="C551" s="75">
        <v>23</v>
      </c>
      <c r="D551" s="2" t="s">
        <v>432</v>
      </c>
      <c r="E551" s="75"/>
      <c r="F551" s="87">
        <f>L523</f>
        <v>433109</v>
      </c>
      <c r="G551" s="87">
        <f>L528</f>
        <v>232582</v>
      </c>
      <c r="H551" s="87">
        <f>L533</f>
        <v>46666</v>
      </c>
      <c r="I551" s="87">
        <f>L538</f>
        <v>0</v>
      </c>
      <c r="J551" s="87">
        <f>L543</f>
        <v>19515</v>
      </c>
      <c r="K551" s="87">
        <f>SUM(F551:J551)</f>
        <v>731872</v>
      </c>
      <c r="L551" s="24" t="s">
        <v>288</v>
      </c>
      <c r="M551" s="8"/>
      <c r="N551" s="266"/>
    </row>
    <row r="552" spans="1:14" s="3" customFormat="1" ht="12.2" customHeight="1" thickBot="1" x14ac:dyDescent="0.2">
      <c r="A552" s="22" t="s">
        <v>635</v>
      </c>
      <c r="B552" s="75">
        <v>21</v>
      </c>
      <c r="C552" s="75">
        <v>24</v>
      </c>
      <c r="D552" s="2" t="s">
        <v>432</v>
      </c>
      <c r="E552" s="75"/>
      <c r="F552" s="87">
        <f>L524</f>
        <v>1044725</v>
      </c>
      <c r="G552" s="87">
        <f>L529</f>
        <v>236573</v>
      </c>
      <c r="H552" s="87">
        <f>L534</f>
        <v>46666</v>
      </c>
      <c r="I552" s="87">
        <f>L539</f>
        <v>0</v>
      </c>
      <c r="J552" s="87">
        <f>L544</f>
        <v>23419</v>
      </c>
      <c r="K552" s="87">
        <f>SUM(F552:J552)</f>
        <v>1351383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2101796</v>
      </c>
      <c r="G553" s="89">
        <f t="shared" si="42"/>
        <v>701737</v>
      </c>
      <c r="H553" s="89">
        <f t="shared" si="42"/>
        <v>139997</v>
      </c>
      <c r="I553" s="89">
        <f t="shared" si="42"/>
        <v>0</v>
      </c>
      <c r="J553" s="89">
        <f t="shared" si="42"/>
        <v>78061</v>
      </c>
      <c r="K553" s="89">
        <f t="shared" si="42"/>
        <v>3021591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v>12159</v>
      </c>
      <c r="H580" s="18"/>
      <c r="I580" s="87">
        <f t="shared" si="47"/>
        <v>12159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36369</v>
      </c>
      <c r="H583" s="18">
        <v>386593</v>
      </c>
      <c r="I583" s="87">
        <f t="shared" si="47"/>
        <v>422962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18379</v>
      </c>
      <c r="I585" s="87">
        <f t="shared" si="47"/>
        <v>18379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190841+48703</f>
        <v>239544</v>
      </c>
      <c r="I592" s="18">
        <f>63614+48700</f>
        <v>112314</v>
      </c>
      <c r="J592" s="18">
        <f>63613+50180</f>
        <v>113793</v>
      </c>
      <c r="K592" s="104">
        <f t="shared" ref="K592:K598" si="48">SUM(H592:J592)</f>
        <v>465651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35128</v>
      </c>
      <c r="I593" s="18">
        <v>19516</v>
      </c>
      <c r="J593" s="18">
        <v>23418</v>
      </c>
      <c r="K593" s="104">
        <f t="shared" si="48"/>
        <v>78062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8254</v>
      </c>
      <c r="K594" s="104">
        <f t="shared" si="48"/>
        <v>8254</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18337</v>
      </c>
      <c r="K595" s="104">
        <f t="shared" si="48"/>
        <v>18337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1676</v>
      </c>
      <c r="I596" s="18">
        <v>1450</v>
      </c>
      <c r="J596" s="18">
        <v>2174</v>
      </c>
      <c r="K596" s="104">
        <f t="shared" si="48"/>
        <v>5300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276348</v>
      </c>
      <c r="I599" s="108">
        <f>SUM(I592:I598)</f>
        <v>133280</v>
      </c>
      <c r="J599" s="108">
        <f>SUM(J592:J598)</f>
        <v>165976</v>
      </c>
      <c r="K599" s="108">
        <f>SUM(K592:K598)</f>
        <v>575604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96182+1215+12376</f>
        <v>109773</v>
      </c>
      <c r="I605" s="18">
        <f>85415+1215+5551+12376</f>
        <v>104557</v>
      </c>
      <c r="J605" s="18">
        <f>102520+1215+8327+12376</f>
        <v>124438</v>
      </c>
      <c r="K605" s="104">
        <f>SUM(H605:J605)</f>
        <v>338768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109773</v>
      </c>
      <c r="I606" s="108">
        <f>SUM(I603:I605)</f>
        <v>104557</v>
      </c>
      <c r="J606" s="108">
        <f>SUM(J603:J605)</f>
        <v>124438</v>
      </c>
      <c r="K606" s="108">
        <f>SUM(K603:K605)</f>
        <v>338768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18564</v>
      </c>
      <c r="G612" s="18"/>
      <c r="H612" s="18"/>
      <c r="I612" s="18"/>
      <c r="J612" s="18"/>
      <c r="K612" s="18"/>
      <c r="L612" s="88">
        <f>SUM(F612:K612)</f>
        <v>18564</v>
      </c>
      <c r="M612" s="8"/>
      <c r="N612" s="266"/>
    </row>
    <row r="613" spans="1:14" s="3" customFormat="1" ht="12.2" customHeight="1" x14ac:dyDescent="0.15">
      <c r="A613" s="22" t="s">
        <v>634</v>
      </c>
      <c r="B613" s="75">
        <v>23</v>
      </c>
      <c r="C613" s="75">
        <v>14</v>
      </c>
      <c r="D613" s="2" t="s">
        <v>432</v>
      </c>
      <c r="E613" s="75"/>
      <c r="F613" s="18">
        <v>4006</v>
      </c>
      <c r="G613" s="18"/>
      <c r="H613" s="18"/>
      <c r="I613" s="18"/>
      <c r="J613" s="18"/>
      <c r="K613" s="18"/>
      <c r="L613" s="88">
        <f>SUM(F613:K613)</f>
        <v>4006</v>
      </c>
      <c r="M613" s="8"/>
      <c r="N613" s="266"/>
    </row>
    <row r="614" spans="1:14" s="3" customFormat="1" ht="12.2" customHeight="1" thickBot="1" x14ac:dyDescent="0.2">
      <c r="A614" s="22" t="s">
        <v>645</v>
      </c>
      <c r="B614" s="75">
        <v>23</v>
      </c>
      <c r="C614" s="75">
        <v>15</v>
      </c>
      <c r="D614" s="2" t="s">
        <v>432</v>
      </c>
      <c r="E614" s="75"/>
      <c r="F614" s="18">
        <v>6008</v>
      </c>
      <c r="G614" s="18"/>
      <c r="H614" s="18"/>
      <c r="I614" s="18"/>
      <c r="J614" s="18"/>
      <c r="K614" s="18"/>
      <c r="L614" s="88">
        <f>SUM(F614:K614)</f>
        <v>6008</v>
      </c>
      <c r="M614" s="8"/>
      <c r="N614" s="266"/>
    </row>
    <row r="615" spans="1:14" s="3" customFormat="1" ht="12.2" customHeight="1" thickTop="1" x14ac:dyDescent="0.15">
      <c r="A615" s="98" t="s">
        <v>340</v>
      </c>
      <c r="B615" s="107">
        <v>23</v>
      </c>
      <c r="C615" s="107">
        <v>16</v>
      </c>
      <c r="D615" s="39" t="s">
        <v>432</v>
      </c>
      <c r="E615" s="107"/>
      <c r="F615" s="108">
        <f t="shared" ref="F615:L615" si="49">SUM(F612:F614)</f>
        <v>28578</v>
      </c>
      <c r="G615" s="108">
        <f t="shared" si="49"/>
        <v>0</v>
      </c>
      <c r="H615" s="108">
        <f t="shared" si="49"/>
        <v>0</v>
      </c>
      <c r="I615" s="108">
        <f t="shared" si="49"/>
        <v>0</v>
      </c>
      <c r="J615" s="108">
        <f t="shared" si="49"/>
        <v>0</v>
      </c>
      <c r="K615" s="108">
        <f t="shared" si="49"/>
        <v>0</v>
      </c>
      <c r="L615" s="89">
        <f t="shared" si="49"/>
        <v>28578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1176580</v>
      </c>
      <c r="H618" s="109">
        <f>SUM(F52)</f>
        <v>1176580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13389</v>
      </c>
      <c r="H619" s="109">
        <f>SUM(G52)</f>
        <v>13389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4142</v>
      </c>
      <c r="H620" s="109">
        <f>SUM(H52)</f>
        <v>4142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1096784</v>
      </c>
      <c r="H622" s="109">
        <f>SUM(J52)</f>
        <v>1096784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1071065</v>
      </c>
      <c r="H623" s="109">
        <f>F477</f>
        <v>1071065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13389</v>
      </c>
      <c r="H624" s="109">
        <f>G477</f>
        <v>13389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865088</v>
      </c>
      <c r="H627" s="109">
        <f>J477</f>
        <v>865088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12229522</v>
      </c>
      <c r="H628" s="104">
        <f>SUM(F469)</f>
        <v>12229522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130833</v>
      </c>
      <c r="H629" s="104">
        <f>SUM(G469)</f>
        <v>130833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278304</v>
      </c>
      <c r="H630" s="104">
        <f>SUM(H469)</f>
        <v>278304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113286</v>
      </c>
      <c r="H632" s="104">
        <f>SUM(J469)</f>
        <v>113286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11900169</v>
      </c>
      <c r="H633" s="104">
        <f>SUM(F473)</f>
        <v>11900169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278304</v>
      </c>
      <c r="H634" s="104">
        <f>SUM(H473)</f>
        <v>278304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66298</v>
      </c>
      <c r="H635" s="104">
        <f>I370</f>
        <v>66298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155148</v>
      </c>
      <c r="H636" s="104">
        <f>SUM(G473)</f>
        <v>155148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113286</v>
      </c>
      <c r="H638" s="164">
        <f>SUM(J469)</f>
        <v>113286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231846</v>
      </c>
      <c r="H639" s="164">
        <f>SUM(J473)</f>
        <v>231846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965747</v>
      </c>
      <c r="H640" s="104">
        <f>SUM(F462)</f>
        <v>965747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131037</v>
      </c>
      <c r="H641" s="104">
        <f>SUM(G462)</f>
        <v>131037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1096784</v>
      </c>
      <c r="H643" s="104">
        <f>SUM(I462)</f>
        <v>1096784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13286</v>
      </c>
      <c r="H645" s="104">
        <f>H409</f>
        <v>13286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113286</v>
      </c>
      <c r="H647" s="104">
        <f>L409</f>
        <v>113286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575604</v>
      </c>
      <c r="H648" s="104">
        <f>L209+L227+L245</f>
        <v>575604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338768</v>
      </c>
      <c r="H649" s="104">
        <f>(J258+J339)-(J256+J337)</f>
        <v>338768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276348</v>
      </c>
      <c r="H650" s="104">
        <f>H599</f>
        <v>276348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133280</v>
      </c>
      <c r="H651" s="104">
        <f>I599</f>
        <v>133280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165976</v>
      </c>
      <c r="H652" s="104">
        <f>J599</f>
        <v>165976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4268093</v>
      </c>
      <c r="G661" s="19">
        <f>(L230+L310+L360)</f>
        <v>3301564</v>
      </c>
      <c r="H661" s="19">
        <f>(L248+L329+L361)</f>
        <v>4663964</v>
      </c>
      <c r="I661" s="19">
        <f>SUM(F661:H661)</f>
        <v>12233621</v>
      </c>
      <c r="J661" s="13"/>
      <c r="K661" s="13"/>
      <c r="L661" s="13"/>
      <c r="M661" s="9"/>
    </row>
    <row r="662" spans="1:13" s="3" customFormat="1" ht="12.2" customHeight="1" x14ac:dyDescent="0.2">
      <c r="A662" s="1" t="s">
        <v>127</v>
      </c>
      <c r="F662" s="19">
        <f>(L359/IF(SUM(L359:L361)=0,1,SUM(L359:L361))*(SUM(G97:G110)))</f>
        <v>23519.673601980045</v>
      </c>
      <c r="G662" s="19">
        <f>(L360/IF(SUM(L359:L361)=0,1,SUM(L359:L361))*(SUM(G97:G110)))</f>
        <v>23519.673601980045</v>
      </c>
      <c r="H662" s="19">
        <f>(L361/IF(SUM(L359:L361)=0,1,SUM(L359:L361))*(SUM(G97:G110)))</f>
        <v>24112.652796039911</v>
      </c>
      <c r="I662" s="19">
        <f>SUM(F662:H662)</f>
        <v>71152</v>
      </c>
      <c r="J662"/>
      <c r="K662" s="13"/>
      <c r="L662" s="13"/>
      <c r="M662" s="8"/>
    </row>
    <row r="663" spans="1:13" s="3" customFormat="1" ht="12.2" customHeight="1" x14ac:dyDescent="0.2">
      <c r="A663" s="1" t="s">
        <v>128</v>
      </c>
      <c r="F663" s="19">
        <f>(L209+L288)-(J209+J288)</f>
        <v>217751</v>
      </c>
      <c r="G663" s="19">
        <f>(L227+L307)-(J227+J307)</f>
        <v>113748</v>
      </c>
      <c r="H663" s="19">
        <f>(L245+L326)-(J245+J326)</f>
        <v>146444</v>
      </c>
      <c r="I663" s="19">
        <f>SUM(F663:H663)</f>
        <v>477943</v>
      </c>
      <c r="J663"/>
      <c r="K663" s="13"/>
      <c r="L663" s="13"/>
      <c r="M663" s="9"/>
    </row>
    <row r="664" spans="1:13" s="3" customFormat="1" ht="12.2" customHeight="1" x14ac:dyDescent="0.15">
      <c r="A664" s="198" t="s">
        <v>129</v>
      </c>
      <c r="B664" s="169"/>
      <c r="C664" s="169"/>
      <c r="D664" s="169"/>
      <c r="E664" s="169"/>
      <c r="F664" s="199">
        <f>SUM(F576:F588)+SUM(H603:H605)+SUM(L612)</f>
        <v>128337</v>
      </c>
      <c r="G664" s="199">
        <f>SUM(G576:G588)+SUM(I603:I605)+L613</f>
        <v>157091</v>
      </c>
      <c r="H664" s="199">
        <f>SUM(H576:H588)+SUM(J603:J605)+L614</f>
        <v>535418</v>
      </c>
      <c r="I664" s="19">
        <f>SUM(F664:H664)</f>
        <v>820846</v>
      </c>
      <c r="J664" s="13"/>
      <c r="K664" s="13"/>
      <c r="L664" s="13"/>
      <c r="M664" s="9"/>
    </row>
    <row r="665" spans="1:13" s="3" customFormat="1" ht="12.2" customHeight="1" x14ac:dyDescent="0.15">
      <c r="A665" s="1" t="s">
        <v>130</v>
      </c>
      <c r="F665" s="19">
        <f>F661-SUM(F662:F664)</f>
        <v>3898485.3263980201</v>
      </c>
      <c r="G665" s="19">
        <f>G661-SUM(G662:G664)</f>
        <v>3007205.3263980201</v>
      </c>
      <c r="H665" s="19">
        <f>H661-SUM(H662:H664)</f>
        <v>3957989.3472039602</v>
      </c>
      <c r="I665" s="19">
        <f>I661-SUM(I662:I664)</f>
        <v>10863680</v>
      </c>
      <c r="J665" s="13"/>
      <c r="K665" s="13"/>
      <c r="L665" s="13"/>
      <c r="M665" s="8"/>
    </row>
    <row r="666" spans="1:13" s="3" customFormat="1" ht="12.2" customHeight="1" x14ac:dyDescent="0.2">
      <c r="A666" s="1" t="s">
        <v>131</v>
      </c>
      <c r="F666" s="246">
        <f>28.19+133.3</f>
        <v>161.49</v>
      </c>
      <c r="G666" s="247">
        <v>98.33</v>
      </c>
      <c r="H666" s="247">
        <v>146.75</v>
      </c>
      <c r="I666" s="19">
        <f>SUM(F666:H666)</f>
        <v>406.57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24140.720000000001</v>
      </c>
      <c r="G668" s="19">
        <f>ROUND(G665/G666,2)</f>
        <v>30582.79</v>
      </c>
      <c r="H668" s="19">
        <f>ROUND(H665/H666,2)</f>
        <v>26970.97</v>
      </c>
      <c r="I668" s="19">
        <f>ROUND(I665/I666,2)</f>
        <v>26720.32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v>
      </c>
      <c r="I671" s="19">
        <f>SUM(F671:H671)</f>
        <v>-3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24140.720000000001</v>
      </c>
      <c r="G673" s="19">
        <f>ROUND((G665+G670)/(G666+G671),2)</f>
        <v>30582.79</v>
      </c>
      <c r="H673" s="19">
        <f>ROUND((H665+H670)/(H666+H671),2)</f>
        <v>27533.84</v>
      </c>
      <c r="I673" s="19">
        <f>ROUND((I665+I670)/(I666+I671),2)</f>
        <v>26918.95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Sunapee</v>
      </c>
      <c r="C5" s="344"/>
      <c r="D5" s="344"/>
      <c r="E5" s="344"/>
      <c r="F5" s="344"/>
    </row>
    <row r="8" spans="1:9" ht="18" x14ac:dyDescent="0.25">
      <c r="A8" s="323" t="s">
        <v>1591</v>
      </c>
      <c r="F8" s="330" t="s">
        <v>1609</v>
      </c>
    </row>
    <row r="9" spans="1:9" ht="15" x14ac:dyDescent="0.2">
      <c r="A9" s="321" t="s">
        <v>1592</v>
      </c>
      <c r="B9" s="324">
        <f>'DOE25'!G97</f>
        <v>71152</v>
      </c>
      <c r="F9" s="321" t="s">
        <v>1605</v>
      </c>
    </row>
    <row r="10" spans="1:9" ht="15" x14ac:dyDescent="0.2">
      <c r="A10" s="321" t="s">
        <v>1593</v>
      </c>
      <c r="B10" s="324">
        <f>'DOE25'!G112-'DOE25'!G97</f>
        <v>0</v>
      </c>
      <c r="F10" s="321" t="s">
        <v>1606</v>
      </c>
    </row>
    <row r="11" spans="1:9" ht="15" x14ac:dyDescent="0.2">
      <c r="A11" s="321" t="s">
        <v>1594</v>
      </c>
      <c r="B11" s="324">
        <f>'DOE25'!G140</f>
        <v>11718</v>
      </c>
      <c r="F11" s="321" t="s">
        <v>1607</v>
      </c>
    </row>
    <row r="12" spans="1:9" ht="15" x14ac:dyDescent="0.2">
      <c r="A12" s="321" t="s">
        <v>1595</v>
      </c>
      <c r="B12" s="324">
        <f>'DOE25'!G170</f>
        <v>47963</v>
      </c>
      <c r="F12" s="321" t="s">
        <v>1608</v>
      </c>
    </row>
    <row r="13" spans="1:9" ht="15" x14ac:dyDescent="0.2">
      <c r="A13" s="321" t="s">
        <v>1596</v>
      </c>
      <c r="B13" s="324">
        <f>'DOE25'!G193-'DOE25'!G180</f>
        <v>0</v>
      </c>
      <c r="F13" s="321" t="s">
        <v>1618</v>
      </c>
    </row>
    <row r="14" spans="1:9" ht="18" x14ac:dyDescent="0.25">
      <c r="A14" s="323" t="s">
        <v>732</v>
      </c>
      <c r="B14" s="325">
        <f>SUM(B9:B13)</f>
        <v>130833</v>
      </c>
    </row>
    <row r="16" spans="1:9" ht="18" x14ac:dyDescent="0.25">
      <c r="A16" s="323" t="s">
        <v>786</v>
      </c>
      <c r="F16" s="330" t="s">
        <v>1610</v>
      </c>
    </row>
    <row r="17" spans="1:6" ht="15" x14ac:dyDescent="0.2">
      <c r="A17" s="321" t="s">
        <v>1597</v>
      </c>
      <c r="B17" s="324">
        <f>'DOE25'!L363-'DOE25'!L362</f>
        <v>155148</v>
      </c>
      <c r="F17" s="321" t="s">
        <v>1611</v>
      </c>
    </row>
    <row r="18" spans="1:6" ht="15" x14ac:dyDescent="0.2">
      <c r="A18" s="321" t="s">
        <v>1598</v>
      </c>
      <c r="B18" s="338"/>
      <c r="F18" s="330" t="s">
        <v>1637</v>
      </c>
    </row>
    <row r="19" spans="1:6" ht="18" x14ac:dyDescent="0.25">
      <c r="A19" s="323" t="s">
        <v>725</v>
      </c>
      <c r="B19" s="325">
        <f>SUM(B17:B18)</f>
        <v>155148</v>
      </c>
    </row>
    <row r="21" spans="1:6" ht="18.75" thickBot="1" x14ac:dyDescent="0.3">
      <c r="A21" s="323" t="s">
        <v>1599</v>
      </c>
    </row>
    <row r="22" spans="1:6" ht="18.75" thickTop="1" x14ac:dyDescent="0.25">
      <c r="A22" s="323" t="s">
        <v>1600</v>
      </c>
      <c r="B22" s="329">
        <f>B14-B19</f>
        <v>-24315</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37704</v>
      </c>
      <c r="F31" s="321" t="s">
        <v>1615</v>
      </c>
    </row>
    <row r="33" spans="1:6" ht="15" x14ac:dyDescent="0.2">
      <c r="A33" s="321" t="s">
        <v>1641</v>
      </c>
      <c r="B33" s="324">
        <f>'DOE25'!G477</f>
        <v>13389</v>
      </c>
      <c r="F33" s="321" t="s">
        <v>1616</v>
      </c>
    </row>
    <row r="36" spans="1:6" ht="15" x14ac:dyDescent="0.2">
      <c r="A36" s="321" t="s">
        <v>1602</v>
      </c>
      <c r="B36" s="341">
        <v>9658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5" sqref="A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Sunapee</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2918615</v>
      </c>
      <c r="C9" s="229">
        <f>'DOE25'!G198+'DOE25'!G216+'DOE25'!G234+'DOE25'!G277+'DOE25'!G296+'DOE25'!G315</f>
        <v>1470449</v>
      </c>
    </row>
    <row r="10" spans="1:3" x14ac:dyDescent="0.2">
      <c r="A10" t="s">
        <v>775</v>
      </c>
      <c r="B10" s="240">
        <v>2805620</v>
      </c>
      <c r="C10" s="240">
        <v>1411632</v>
      </c>
    </row>
    <row r="11" spans="1:3" x14ac:dyDescent="0.2">
      <c r="A11" t="s">
        <v>776</v>
      </c>
      <c r="B11" s="240">
        <v>65271</v>
      </c>
      <c r="C11" s="240">
        <v>35290</v>
      </c>
    </row>
    <row r="12" spans="1:3" x14ac:dyDescent="0.2">
      <c r="A12" t="s">
        <v>777</v>
      </c>
      <c r="B12" s="240">
        <v>47724</v>
      </c>
      <c r="C12" s="240">
        <v>23527</v>
      </c>
    </row>
    <row r="13" spans="1:3" x14ac:dyDescent="0.2">
      <c r="A13" t="str">
        <f>IF(B9=B13,IF(C9=C13,"Check Total OK","Check Total Error"),"Check Total Error")</f>
        <v>Check Total OK</v>
      </c>
      <c r="B13" s="231">
        <f>SUM(B10:B12)</f>
        <v>2918615</v>
      </c>
      <c r="C13" s="231">
        <f>SUM(C10:C12)</f>
        <v>1470449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865430</v>
      </c>
      <c r="C18" s="229">
        <f>'DOE25'!G199+'DOE25'!G217+'DOE25'!G235+'DOE25'!G278+'DOE25'!G297+'DOE25'!G316</f>
        <v>494255</v>
      </c>
    </row>
    <row r="19" spans="1:3" x14ac:dyDescent="0.2">
      <c r="A19" t="s">
        <v>775</v>
      </c>
      <c r="B19" s="240">
        <v>650477</v>
      </c>
      <c r="C19" s="240">
        <v>372174</v>
      </c>
    </row>
    <row r="20" spans="1:3" x14ac:dyDescent="0.2">
      <c r="A20" t="s">
        <v>776</v>
      </c>
      <c r="B20" s="240">
        <v>177021</v>
      </c>
      <c r="C20" s="240">
        <v>100828</v>
      </c>
    </row>
    <row r="21" spans="1:3" x14ac:dyDescent="0.2">
      <c r="A21" t="s">
        <v>777</v>
      </c>
      <c r="B21" s="240">
        <v>37932</v>
      </c>
      <c r="C21" s="240">
        <v>21253</v>
      </c>
    </row>
    <row r="22" spans="1:3" x14ac:dyDescent="0.2">
      <c r="A22" t="str">
        <f>IF(B18=B22,IF(C18=C22,"Check Total OK","Check Total Error"),"Check Total Error")</f>
        <v>Check Total OK</v>
      </c>
      <c r="B22" s="231">
        <f>SUM(B19:B21)</f>
        <v>865430</v>
      </c>
      <c r="C22" s="231">
        <f>SUM(C19:C21)</f>
        <v>494255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127264</v>
      </c>
      <c r="C36" s="235">
        <f>'DOE25'!G201+'DOE25'!G219+'DOE25'!G237+'DOE25'!G280+'DOE25'!G299+'DOE25'!G318</f>
        <v>88557</v>
      </c>
    </row>
    <row r="37" spans="1:3" x14ac:dyDescent="0.2">
      <c r="A37" t="s">
        <v>775</v>
      </c>
      <c r="B37" s="240">
        <v>72274</v>
      </c>
      <c r="C37" s="240">
        <v>50300</v>
      </c>
    </row>
    <row r="38" spans="1:3" x14ac:dyDescent="0.2">
      <c r="A38" t="s">
        <v>776</v>
      </c>
      <c r="B38" s="240">
        <v>0</v>
      </c>
      <c r="C38" s="240"/>
    </row>
    <row r="39" spans="1:3" x14ac:dyDescent="0.2">
      <c r="A39" t="s">
        <v>777</v>
      </c>
      <c r="B39" s="240">
        <v>54990</v>
      </c>
      <c r="C39" s="240">
        <v>38257</v>
      </c>
    </row>
    <row r="40" spans="1:3" x14ac:dyDescent="0.2">
      <c r="A40" t="str">
        <f>IF(B36=B40,IF(C36=C40,"Check Total OK","Check Total Error"),"Check Total Error")</f>
        <v>Check Total OK</v>
      </c>
      <c r="B40" s="231">
        <f>SUM(B37:B39)</f>
        <v>127264</v>
      </c>
      <c r="C40" s="231">
        <f>SUM(C37:C39)</f>
        <v>88557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9" sqref="F1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Sunapee</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6718299</v>
      </c>
      <c r="D5" s="20">
        <f>SUM('DOE25'!L198:L201)+SUM('DOE25'!L216:L219)+SUM('DOE25'!L234:L237)-F5-G5-H5</f>
        <v>6696765</v>
      </c>
      <c r="E5" s="243"/>
      <c r="F5" s="244"/>
      <c r="G5" s="53">
        <f>SUM('DOE25'!J198:J201)+SUM('DOE25'!J216:J219)+SUM('DOE25'!J234:J237)</f>
        <v>15003</v>
      </c>
      <c r="H5" s="53">
        <f>SUM('DOE25'!K198:K201)+SUM('DOE25'!K216:K219)+SUM('DOE25'!K234:K237)</f>
        <v>6531</v>
      </c>
      <c r="I5" s="256"/>
    </row>
    <row r="6" spans="1:9" x14ac:dyDescent="0.2">
      <c r="A6" s="32">
        <v>2100</v>
      </c>
      <c r="B6" t="s">
        <v>796</v>
      </c>
      <c r="C6" s="276">
        <f t="shared" si="0"/>
        <v>1171371</v>
      </c>
      <c r="D6" s="20">
        <f>'DOE25'!L203+'DOE25'!L221+'DOE25'!L239-F6-G6-H6</f>
        <v>1171371</v>
      </c>
      <c r="E6" s="243"/>
      <c r="F6" s="244"/>
      <c r="G6" s="53">
        <f>'DOE25'!J203+'DOE25'!J221+'DOE25'!J239</f>
        <v>0</v>
      </c>
      <c r="H6" s="53">
        <f>'DOE25'!K203+'DOE25'!K221+'DOE25'!K239</f>
        <v>0</v>
      </c>
      <c r="I6" s="256"/>
    </row>
    <row r="7" spans="1:9" x14ac:dyDescent="0.2">
      <c r="A7" s="32">
        <v>2200</v>
      </c>
      <c r="B7" t="s">
        <v>821</v>
      </c>
      <c r="C7" s="276">
        <f t="shared" si="0"/>
        <v>997629</v>
      </c>
      <c r="D7" s="20">
        <f>'DOE25'!L204+'DOE25'!L222+'DOE25'!L240-F7-G7-H7</f>
        <v>818619</v>
      </c>
      <c r="E7" s="243"/>
      <c r="F7" s="244"/>
      <c r="G7" s="53">
        <f>'DOE25'!J204+'DOE25'!J222+'DOE25'!J240</f>
        <v>179010</v>
      </c>
      <c r="H7" s="53">
        <f>'DOE25'!K204+'DOE25'!K222+'DOE25'!K240</f>
        <v>0</v>
      </c>
      <c r="I7" s="256"/>
    </row>
    <row r="8" spans="1:9" x14ac:dyDescent="0.2">
      <c r="A8" s="32">
        <v>2300</v>
      </c>
      <c r="B8" t="s">
        <v>797</v>
      </c>
      <c r="C8" s="276">
        <f t="shared" si="0"/>
        <v>332936</v>
      </c>
      <c r="D8" s="243"/>
      <c r="E8" s="20">
        <f>'DOE25'!L205+'DOE25'!L223+'DOE25'!L241-F8-G8-H8-D9-D11</f>
        <v>320918</v>
      </c>
      <c r="F8" s="244"/>
      <c r="G8" s="53">
        <f>'DOE25'!J205+'DOE25'!J223+'DOE25'!J241</f>
        <v>0</v>
      </c>
      <c r="H8" s="53">
        <f>'DOE25'!K205+'DOE25'!K223+'DOE25'!K241</f>
        <v>12018</v>
      </c>
      <c r="I8" s="256"/>
    </row>
    <row r="9" spans="1:9" ht="14.25" x14ac:dyDescent="0.2">
      <c r="A9" s="32">
        <v>2310</v>
      </c>
      <c r="B9" s="185" t="s">
        <v>890</v>
      </c>
      <c r="C9" s="276">
        <f t="shared" si="0"/>
        <v>67793</v>
      </c>
      <c r="D9" s="244">
        <v>67793</v>
      </c>
      <c r="E9" s="243"/>
      <c r="F9" s="253"/>
      <c r="G9" s="253"/>
      <c r="H9" s="253"/>
      <c r="I9" s="256"/>
    </row>
    <row r="10" spans="1:9" ht="14.25" x14ac:dyDescent="0.2">
      <c r="A10" s="32">
        <v>2317</v>
      </c>
      <c r="B10" s="185" t="s">
        <v>891</v>
      </c>
      <c r="C10" s="276">
        <f t="shared" si="0"/>
        <v>10268</v>
      </c>
      <c r="D10" s="243"/>
      <c r="E10" s="244">
        <v>10268</v>
      </c>
      <c r="F10" s="253"/>
      <c r="G10" s="253"/>
      <c r="H10" s="253"/>
      <c r="I10" s="256"/>
    </row>
    <row r="11" spans="1:9" ht="14.25" x14ac:dyDescent="0.2">
      <c r="A11" s="32">
        <v>2321</v>
      </c>
      <c r="B11" s="185" t="s">
        <v>892</v>
      </c>
      <c r="C11" s="276">
        <f t="shared" si="0"/>
        <v>190610</v>
      </c>
      <c r="D11" s="244">
        <f>135844+54766</f>
        <v>190610</v>
      </c>
      <c r="E11" s="243"/>
      <c r="F11" s="253"/>
      <c r="G11" s="253"/>
      <c r="H11" s="253"/>
      <c r="I11" s="256"/>
    </row>
    <row r="12" spans="1:9" x14ac:dyDescent="0.2">
      <c r="A12" s="32">
        <v>2400</v>
      </c>
      <c r="B12" t="s">
        <v>711</v>
      </c>
      <c r="C12" s="276">
        <f t="shared" si="0"/>
        <v>577201</v>
      </c>
      <c r="D12" s="20">
        <f>'DOE25'!L206+'DOE25'!L224+'DOE25'!L242-F12-G12-H12</f>
        <v>570698</v>
      </c>
      <c r="E12" s="243"/>
      <c r="F12" s="244">
        <v>0</v>
      </c>
      <c r="G12" s="53">
        <f>'DOE25'!J206+'DOE25'!J224+'DOE25'!J242</f>
        <v>0</v>
      </c>
      <c r="H12" s="53">
        <f>'DOE25'!K206+'DOE25'!K224+'DOE25'!K242</f>
        <v>6503</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1168726</v>
      </c>
      <c r="D14" s="20">
        <f>'DOE25'!L208+'DOE25'!L226+'DOE25'!L244-F14-G14-H14</f>
        <v>1158760</v>
      </c>
      <c r="E14" s="243"/>
      <c r="F14" s="244"/>
      <c r="G14" s="53">
        <f>'DOE25'!J208+'DOE25'!J226+'DOE25'!J244</f>
        <v>9966</v>
      </c>
      <c r="H14" s="53">
        <f>'DOE25'!K208+'DOE25'!K226+'DOE25'!K244</f>
        <v>0</v>
      </c>
      <c r="I14" s="256"/>
    </row>
    <row r="15" spans="1:9" x14ac:dyDescent="0.2">
      <c r="A15" s="32">
        <v>2700</v>
      </c>
      <c r="B15" t="s">
        <v>799</v>
      </c>
      <c r="C15" s="276">
        <f t="shared" si="0"/>
        <v>575604</v>
      </c>
      <c r="D15" s="20">
        <f>'DOE25'!L209+'DOE25'!L227+'DOE25'!L245-F15-G15-H15</f>
        <v>477275</v>
      </c>
      <c r="E15" s="243"/>
      <c r="F15" s="244"/>
      <c r="G15" s="53">
        <f>'DOE25'!J209+'DOE25'!J227+'DOE25'!J245</f>
        <v>97661</v>
      </c>
      <c r="H15" s="53">
        <f>'DOE25'!K209+'DOE25'!K227+'DOE25'!K245</f>
        <v>668</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89412</v>
      </c>
      <c r="D29" s="284">
        <f>'DOE25'!L359+'DOE25'!L360+'DOE25'!L361-'DOE25'!I368-F29-G29-H29</f>
        <v>88119</v>
      </c>
      <c r="E29" s="243"/>
      <c r="F29" s="244"/>
      <c r="G29" s="53">
        <f>'DOE25'!J359+'DOE25'!J360+'DOE25'!J361</f>
        <v>0</v>
      </c>
      <c r="H29" s="53">
        <f>'DOE25'!K359+'DOE25'!K360+'DOE25'!K361</f>
        <v>1293</v>
      </c>
      <c r="I29" s="256"/>
    </row>
    <row r="30" spans="1:9" x14ac:dyDescent="0.2">
      <c r="A30" s="32"/>
      <c r="C30" s="277"/>
      <c r="D30" s="20"/>
      <c r="E30" s="281"/>
      <c r="F30" s="271"/>
      <c r="G30" s="53"/>
      <c r="H30" s="53"/>
      <c r="I30" s="256"/>
    </row>
    <row r="31" spans="1:9" x14ac:dyDescent="0.2">
      <c r="A31" s="32" t="s">
        <v>818</v>
      </c>
      <c r="B31" t="s">
        <v>817</v>
      </c>
      <c r="C31" s="276">
        <f>SUM(D31:I31)</f>
        <v>278304</v>
      </c>
      <c r="D31" s="20">
        <f>'DOE25'!L291+'DOE25'!L310+'DOE25'!L329+'DOE25'!L334+'DOE25'!L335+'DOE25'!L336-F31-G31-H31</f>
        <v>241176</v>
      </c>
      <c r="E31" s="243"/>
      <c r="F31" s="244"/>
      <c r="G31" s="53">
        <f>'DOE25'!J291+'DOE25'!J310+'DOE25'!J329+'DOE25'!J334+'DOE25'!J335+'DOE25'!J336</f>
        <v>37128</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11481186</v>
      </c>
      <c r="E33" s="245">
        <f t="shared" si="1"/>
        <v>331186</v>
      </c>
      <c r="F33" s="245">
        <f t="shared" si="1"/>
        <v>0</v>
      </c>
      <c r="G33" s="245">
        <f t="shared" si="1"/>
        <v>338768</v>
      </c>
      <c r="H33" s="245">
        <f t="shared" si="1"/>
        <v>27013</v>
      </c>
      <c r="I33" s="245">
        <f t="shared" si="1"/>
        <v>0</v>
      </c>
    </row>
    <row r="35" spans="1:9" ht="12" thickBot="1" x14ac:dyDescent="0.25">
      <c r="B35" s="251" t="s">
        <v>831</v>
      </c>
      <c r="D35" s="252">
        <f>E33</f>
        <v>331186</v>
      </c>
      <c r="E35" s="248"/>
    </row>
    <row r="36" spans="1:9" ht="12" thickTop="1" x14ac:dyDescent="0.2">
      <c r="B36" t="s">
        <v>810</v>
      </c>
      <c r="D36" s="20">
        <f>D33</f>
        <v>11481186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Sunapee</v>
      </c>
      <c r="B2" s="126">
        <f>'DOE25'!B2</f>
        <v>515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4216808</v>
      </c>
      <c r="G4" s="303">
        <f>'DOE25'!L212+'DOE25'!L291</f>
        <v>4216808</v>
      </c>
      <c r="H4" s="337">
        <f>F4-G4</f>
        <v>0</v>
      </c>
      <c r="I4" s="309" t="str">
        <f>IF(H4=0,"","Does not match DOE25 page 7 and 11 Totals!!")</f>
        <v/>
      </c>
      <c r="N4"/>
    </row>
    <row r="5" spans="1:18" x14ac:dyDescent="0.2">
      <c r="A5" s="21" t="s">
        <v>1444</v>
      </c>
      <c r="B5" s="304">
        <f>IFERROR(VLOOKUP(A5,'School Tables'!$C$3:$D$365,2,FALSE),"")</f>
        <v>22005</v>
      </c>
      <c r="C5" s="297" t="str">
        <f>IFERROR(INDEX('School Tables'!$B$3:$B$365,MATCH('School Level Expenditures'!B5,'School Tables'!$D$3:$D$365,0)),"")</f>
        <v>Sunapee</v>
      </c>
      <c r="D5" s="294">
        <v>4104169</v>
      </c>
      <c r="E5" s="294">
        <v>112639</v>
      </c>
      <c r="F5" s="312">
        <f>D5+E5</f>
        <v>4216808</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3250279</v>
      </c>
      <c r="G24" s="303">
        <f>'DOE25'!L230+'DOE25'!L310</f>
        <v>3250279</v>
      </c>
      <c r="H24" s="337">
        <f>F24-G24</f>
        <v>0</v>
      </c>
      <c r="I24" s="309" t="str">
        <f>IF(H24=0,"","Does not match DOE25 page 8 and 12 Totals!!")</f>
        <v/>
      </c>
      <c r="N24"/>
    </row>
    <row r="25" spans="1:14" x14ac:dyDescent="0.2">
      <c r="A25" s="21" t="s">
        <v>1552</v>
      </c>
      <c r="B25" s="304">
        <f>IFERROR(VLOOKUP(A25,'School Tables'!$I$3:$J$80,2,FALSE),"")</f>
        <v>26965</v>
      </c>
      <c r="C25" s="297" t="str">
        <f t="array" ref="C25">IFERROR(INDEX('School Tables'!$H$3:$H$80,MATCH('School Level Expenditures'!B25,'School Tables'!$J$3:$J$80,0)),"")</f>
        <v>Sunapee</v>
      </c>
      <c r="D25" s="294">
        <v>3173581</v>
      </c>
      <c r="E25" s="294">
        <v>76698</v>
      </c>
      <c r="F25" s="307">
        <f>D25+E25</f>
        <v>3250279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4611386</v>
      </c>
      <c r="G36" s="303">
        <f>'DOE25'!L248+'DOE25'!L329</f>
        <v>4611386</v>
      </c>
      <c r="H36" s="337">
        <f>F36-G36</f>
        <v>0</v>
      </c>
      <c r="I36" s="309" t="str">
        <f>IF(H36=0,"","Does not match DOE25 page 9 and 13 Totals!!")</f>
        <v/>
      </c>
      <c r="N36"/>
    </row>
    <row r="37" spans="1:14" x14ac:dyDescent="0.2">
      <c r="A37" s="21" t="s">
        <v>1443</v>
      </c>
      <c r="B37" s="304">
        <f>IFERROR(VLOOKUP(A37,'School Tables'!$O$3:$P$118,2,FALSE),"")</f>
        <v>22000</v>
      </c>
      <c r="C37" s="297" t="str">
        <f t="array" ref="C37">IFERROR(INDEX('School Tables'!$N$3:$N$118,MATCH('School Level Expenditures'!B37,'School Tables'!$P$3:$P$118,0)),"")</f>
        <v>Sunapee</v>
      </c>
      <c r="D37" s="294">
        <v>4522419</v>
      </c>
      <c r="E37" s="294">
        <v>88967</v>
      </c>
      <c r="F37" s="307">
        <f>D37+E37</f>
        <v>4611386</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Sunapee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776278</v>
      </c>
      <c r="D8" s="95">
        <f>'DOE25'!G9</f>
        <v>0</v>
      </c>
      <c r="E8" s="95">
        <f>'DOE25'!H9</f>
        <v>0</v>
      </c>
      <c r="F8" s="95">
        <f>'DOE25'!I9</f>
        <v>0</v>
      </c>
      <c r="G8" s="95">
        <f>'DOE25'!J9</f>
        <v>0</v>
      </c>
      <c r="H8" s="124"/>
      <c r="I8" s="124"/>
    </row>
    <row r="9" spans="1:9" x14ac:dyDescent="0.2">
      <c r="A9" s="1" t="s">
        <v>140</v>
      </c>
      <c r="B9" s="6">
        <v>110</v>
      </c>
      <c r="C9" s="95">
        <f>'DOE25'!F10</f>
        <v>11</v>
      </c>
      <c r="D9" s="95">
        <f>'DOE25'!G10</f>
        <v>0</v>
      </c>
      <c r="E9" s="95">
        <f>'DOE25'!H10</f>
        <v>0</v>
      </c>
      <c r="F9" s="95">
        <f>'DOE25'!I10</f>
        <v>0</v>
      </c>
      <c r="G9" s="95">
        <f>'DOE25'!J10</f>
        <v>0</v>
      </c>
      <c r="H9" s="124"/>
      <c r="I9" s="124"/>
    </row>
    <row r="10" spans="1:9" x14ac:dyDescent="0.2">
      <c r="A10" s="1" t="s">
        <v>141</v>
      </c>
      <c r="B10" s="6">
        <v>120</v>
      </c>
      <c r="C10" s="95">
        <f>'DOE25'!F11</f>
        <v>101987</v>
      </c>
      <c r="D10" s="24" t="s">
        <v>288</v>
      </c>
      <c r="E10" s="24" t="s">
        <v>288</v>
      </c>
      <c r="F10" s="24" t="s">
        <v>288</v>
      </c>
      <c r="G10" s="24" t="s">
        <v>288</v>
      </c>
      <c r="H10" s="124"/>
      <c r="I10" s="124"/>
    </row>
    <row r="11" spans="1:9" x14ac:dyDescent="0.2">
      <c r="A11" s="1" t="s">
        <v>142</v>
      </c>
      <c r="B11" s="6">
        <v>130</v>
      </c>
      <c r="C11" s="95">
        <f>'DOE25'!F12</f>
        <v>231696</v>
      </c>
      <c r="D11" s="95">
        <f>'DOE25'!G12</f>
        <v>1496</v>
      </c>
      <c r="E11" s="95">
        <f>'DOE25'!H12</f>
        <v>-103736</v>
      </c>
      <c r="F11" s="95">
        <f>'DOE25'!I12</f>
        <v>0</v>
      </c>
      <c r="G11" s="95">
        <f>'DOE25'!J12</f>
        <v>0</v>
      </c>
      <c r="H11" s="124"/>
      <c r="I11" s="124"/>
    </row>
    <row r="12" spans="1:9" x14ac:dyDescent="0.2">
      <c r="A12" s="1" t="s">
        <v>143</v>
      </c>
      <c r="B12" s="6">
        <v>140</v>
      </c>
      <c r="C12" s="95">
        <f>'DOE25'!F13</f>
        <v>0</v>
      </c>
      <c r="D12" s="95">
        <f>'DOE25'!G13</f>
        <v>11893</v>
      </c>
      <c r="E12" s="95">
        <f>'DOE25'!H13</f>
        <v>107878</v>
      </c>
      <c r="F12" s="95">
        <f>'DOE25'!I13</f>
        <v>0</v>
      </c>
      <c r="G12" s="95">
        <f>'DOE25'!J13</f>
        <v>1096784</v>
      </c>
      <c r="H12" s="124"/>
      <c r="I12" s="124"/>
    </row>
    <row r="13" spans="1:9" x14ac:dyDescent="0.2">
      <c r="A13" s="1" t="s">
        <v>144</v>
      </c>
      <c r="B13" s="6">
        <v>150</v>
      </c>
      <c r="C13" s="95">
        <f>'DOE25'!F14</f>
        <v>66608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1176580</v>
      </c>
      <c r="D18" s="41">
        <f>SUM(D8:D17)</f>
        <v>13389</v>
      </c>
      <c r="E18" s="41">
        <f>SUM(E8:E17)</f>
        <v>4142</v>
      </c>
      <c r="F18" s="41">
        <f>SUM(F8:F17)</f>
        <v>0</v>
      </c>
      <c r="G18" s="41">
        <f>SUM(G8:G17)</f>
        <v>1096784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231696</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105515</v>
      </c>
      <c r="D23" s="95">
        <f>'DOE25'!G24</f>
        <v>0</v>
      </c>
      <c r="E23" s="95">
        <f>'DOE25'!H24</f>
        <v>4142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105515</v>
      </c>
      <c r="D31" s="41">
        <f>SUM(D21:D30)</f>
        <v>0</v>
      </c>
      <c r="E31" s="41">
        <f>SUM(E21:E30)</f>
        <v>4142</v>
      </c>
      <c r="F31" s="41">
        <f>SUM(F21:F30)</f>
        <v>0</v>
      </c>
      <c r="G31" s="41">
        <f>SUM(G21:G30)</f>
        <v>231696</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320938</v>
      </c>
      <c r="D44" s="95">
        <f>'DOE25'!G45</f>
        <v>0</v>
      </c>
      <c r="E44" s="95">
        <f>'DOE25'!H45</f>
        <v>0</v>
      </c>
      <c r="F44" s="95">
        <f>'DOE25'!I45</f>
        <v>0</v>
      </c>
      <c r="G44" s="95">
        <f>'DOE25'!J45</f>
        <v>0</v>
      </c>
      <c r="H44" s="124"/>
      <c r="I44" s="124"/>
    </row>
    <row r="45" spans="1:9" x14ac:dyDescent="0.2">
      <c r="A45" s="1" t="s">
        <v>880</v>
      </c>
      <c r="B45" s="6"/>
      <c r="C45" s="95">
        <f>'DOE25'!F46</f>
        <v>250000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865088</v>
      </c>
      <c r="H47" s="124"/>
      <c r="I47" s="124"/>
    </row>
    <row r="48" spans="1:9" x14ac:dyDescent="0.2">
      <c r="A48" s="1" t="s">
        <v>882</v>
      </c>
      <c r="B48" s="6">
        <v>753</v>
      </c>
      <c r="C48" s="95">
        <f>'DOE25'!F49</f>
        <v>0</v>
      </c>
      <c r="D48" s="95">
        <f>'DOE25'!G49</f>
        <v>13389</v>
      </c>
      <c r="E48" s="95">
        <f>'DOE25'!H49</f>
        <v>0</v>
      </c>
      <c r="F48" s="95">
        <f>'DOE25'!I49</f>
        <v>0</v>
      </c>
      <c r="G48" s="95">
        <f>'DOE25'!J49</f>
        <v>0</v>
      </c>
      <c r="H48" s="124"/>
      <c r="I48" s="124"/>
    </row>
    <row r="49" spans="1:9" ht="12" thickBot="1" x14ac:dyDescent="0.25">
      <c r="A49" s="29" t="s">
        <v>883</v>
      </c>
      <c r="B49" s="71">
        <v>770</v>
      </c>
      <c r="C49" s="95">
        <f>'DOE25'!F50</f>
        <v>425127</v>
      </c>
      <c r="D49" s="24" t="s">
        <v>288</v>
      </c>
      <c r="E49" s="24" t="s">
        <v>288</v>
      </c>
      <c r="F49" s="24" t="s">
        <v>288</v>
      </c>
      <c r="G49" s="24" t="s">
        <v>288</v>
      </c>
      <c r="H49" s="124"/>
      <c r="I49" s="124"/>
    </row>
    <row r="50" spans="1:9" ht="12.75" thickTop="1" thickBot="1" x14ac:dyDescent="0.25">
      <c r="A50" s="38" t="s">
        <v>884</v>
      </c>
      <c r="B50" s="48"/>
      <c r="C50" s="41">
        <f>SUM(C34:C49)</f>
        <v>1071065</v>
      </c>
      <c r="D50" s="41">
        <f>SUM(D34:D49)</f>
        <v>13389</v>
      </c>
      <c r="E50" s="41">
        <f>SUM(E34:E49)</f>
        <v>0</v>
      </c>
      <c r="F50" s="41">
        <f>SUM(F34:F49)</f>
        <v>0</v>
      </c>
      <c r="G50" s="41">
        <f>SUM(G34:G49)</f>
        <v>865088</v>
      </c>
      <c r="H50" s="124"/>
      <c r="I50" s="124"/>
    </row>
    <row r="51" spans="1:9" ht="12" thickTop="1" x14ac:dyDescent="0.2">
      <c r="A51" s="38" t="s">
        <v>885</v>
      </c>
      <c r="B51" s="2"/>
      <c r="C51" s="41">
        <f>C50+C31</f>
        <v>1176580</v>
      </c>
      <c r="D51" s="41">
        <f>D50+D31</f>
        <v>13389</v>
      </c>
      <c r="E51" s="41">
        <f>E50+E31</f>
        <v>4142</v>
      </c>
      <c r="F51" s="41">
        <f>F50+F31</f>
        <v>0</v>
      </c>
      <c r="G51" s="41">
        <f>G50+G31</f>
        <v>1096784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8903208</v>
      </c>
      <c r="D56" s="95">
        <f>'DOE25'!G60</f>
        <v>0</v>
      </c>
      <c r="E56" s="95">
        <f>'DOE25'!H60</f>
        <v>0</v>
      </c>
      <c r="F56" s="95">
        <f>'DOE25'!I60</f>
        <v>0</v>
      </c>
      <c r="G56" s="95">
        <f>'DOE25'!J60</f>
        <v>0</v>
      </c>
      <c r="H56"/>
      <c r="I56"/>
    </row>
    <row r="57" spans="1:9" x14ac:dyDescent="0.2">
      <c r="A57" s="1" t="s">
        <v>164</v>
      </c>
      <c r="B57" s="6" t="s">
        <v>165</v>
      </c>
      <c r="C57" s="95">
        <f>'DOE25'!F79</f>
        <v>370281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19627</v>
      </c>
      <c r="D59" s="95">
        <f>'DOE25'!G96</f>
        <v>0</v>
      </c>
      <c r="E59" s="95">
        <f>'DOE25'!H96</f>
        <v>0</v>
      </c>
      <c r="F59" s="95">
        <f>'DOE25'!I96</f>
        <v>0</v>
      </c>
      <c r="G59" s="95">
        <f>'DOE25'!J96</f>
        <v>13286</v>
      </c>
      <c r="H59"/>
      <c r="I59"/>
    </row>
    <row r="60" spans="1:9" x14ac:dyDescent="0.2">
      <c r="A60" s="1" t="s">
        <v>170</v>
      </c>
      <c r="B60" s="118" t="s">
        <v>171</v>
      </c>
      <c r="C60" s="24" t="s">
        <v>288</v>
      </c>
      <c r="D60" s="95">
        <f>'DOE25'!G97</f>
        <v>71152</v>
      </c>
      <c r="E60" s="24" t="s">
        <v>288</v>
      </c>
      <c r="F60" s="24" t="s">
        <v>288</v>
      </c>
      <c r="G60" s="24" t="s">
        <v>288</v>
      </c>
      <c r="H60"/>
      <c r="I60"/>
    </row>
    <row r="61" spans="1:9" ht="12" thickBot="1" x14ac:dyDescent="0.25">
      <c r="A61" s="1" t="s">
        <v>172</v>
      </c>
      <c r="B61" s="118" t="s">
        <v>173</v>
      </c>
      <c r="C61" s="95">
        <f>SUM('DOE25'!F98:F110)</f>
        <v>5124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395032</v>
      </c>
      <c r="D62" s="130">
        <f>SUM(D57:D61)</f>
        <v>71152</v>
      </c>
      <c r="E62" s="130">
        <f>SUM(E57:E61)</f>
        <v>0</v>
      </c>
      <c r="F62" s="130">
        <f>SUM(F57:F61)</f>
        <v>0</v>
      </c>
      <c r="G62" s="130">
        <f>SUM(G57:G61)</f>
        <v>13286</v>
      </c>
      <c r="H62"/>
      <c r="I62"/>
    </row>
    <row r="63" spans="1:9" ht="12" thickTop="1" x14ac:dyDescent="0.2">
      <c r="A63" s="29" t="s">
        <v>175</v>
      </c>
      <c r="B63" s="6"/>
      <c r="C63" s="22">
        <f>C56+C62</f>
        <v>9298240</v>
      </c>
      <c r="D63" s="22">
        <f>D56+D62</f>
        <v>71152</v>
      </c>
      <c r="E63" s="22">
        <f>E56+E62</f>
        <v>0</v>
      </c>
      <c r="F63" s="22">
        <f>F56+F62</f>
        <v>0</v>
      </c>
      <c r="G63" s="22">
        <f>G56+G62</f>
        <v>13286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2609473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2609473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4396</v>
      </c>
      <c r="D74" s="24"/>
      <c r="E74" s="24"/>
      <c r="F74" s="24"/>
      <c r="G74" s="24"/>
      <c r="H74"/>
      <c r="I74"/>
    </row>
    <row r="75" spans="1:9" x14ac:dyDescent="0.2">
      <c r="A75" s="1" t="s">
        <v>256</v>
      </c>
      <c r="B75" s="6">
        <v>3230</v>
      </c>
      <c r="C75" s="95">
        <f>'DOE25'!F126</f>
        <v>301143</v>
      </c>
      <c r="D75" s="24" t="s">
        <v>288</v>
      </c>
      <c r="E75" s="24" t="s">
        <v>288</v>
      </c>
      <c r="F75" s="24" t="s">
        <v>288</v>
      </c>
      <c r="G75" s="24" t="s">
        <v>288</v>
      </c>
      <c r="H75"/>
      <c r="I75"/>
    </row>
    <row r="76" spans="1:9" x14ac:dyDescent="0.2">
      <c r="A76" s="1" t="s">
        <v>257</v>
      </c>
      <c r="B76" s="6" t="s">
        <v>179</v>
      </c>
      <c r="C76" s="95">
        <f>SUM('DOE25'!F127:F130)</f>
        <v>1516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11718</v>
      </c>
      <c r="E77" s="95">
        <f>SUM('DOE25'!H131:H135)</f>
        <v>0</v>
      </c>
      <c r="F77" s="95">
        <f>SUM('DOE25'!I131:I135)</f>
        <v>0</v>
      </c>
      <c r="G77" s="95">
        <f>SUM('DOE25'!J131:J135)</f>
        <v>0</v>
      </c>
      <c r="H77"/>
      <c r="I77"/>
    </row>
    <row r="78" spans="1:9" ht="12.75" thickTop="1" thickBot="1" x14ac:dyDescent="0.25">
      <c r="A78" s="29" t="s">
        <v>259</v>
      </c>
      <c r="B78" s="6"/>
      <c r="C78" s="130">
        <f>SUM(C72:C77)</f>
        <v>307055</v>
      </c>
      <c r="D78" s="130">
        <f>SUM(D72:D77)</f>
        <v>11718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2916528</v>
      </c>
      <c r="D81" s="130">
        <f>SUM(D79:D80)+D78+D70</f>
        <v>11718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14754</v>
      </c>
      <c r="D88" s="340">
        <f>SUM('DOE25'!G153:G162)</f>
        <v>47963</v>
      </c>
      <c r="E88" s="340">
        <f>SUM('DOE25'!H153:H162)</f>
        <v>278304</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14754</v>
      </c>
      <c r="D91" s="131">
        <f>SUM(D85:D90)</f>
        <v>47963</v>
      </c>
      <c r="E91" s="131">
        <f>SUM(E85:E90)</f>
        <v>278304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100000</v>
      </c>
    </row>
    <row r="104" spans="1:7" ht="12.75" thickTop="1" thickBot="1" x14ac:dyDescent="0.25">
      <c r="A104" s="33" t="s">
        <v>761</v>
      </c>
      <c r="C104" s="86">
        <f>C63+C81+C91+C103</f>
        <v>12229522</v>
      </c>
      <c r="D104" s="86">
        <f>D63+D81+D91+D103</f>
        <v>130833</v>
      </c>
      <c r="E104" s="86">
        <f>E63+E81+E91+E103</f>
        <v>278304</v>
      </c>
      <c r="F104" s="86">
        <f>F63+F81+F91+F103</f>
        <v>0</v>
      </c>
      <c r="G104" s="86">
        <f>G63+G81+G103</f>
        <v>113286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4504859</v>
      </c>
      <c r="D109" s="24" t="s">
        <v>288</v>
      </c>
      <c r="E109" s="95">
        <f>('DOE25'!L277)+('DOE25'!L296)+('DOE25'!L315)</f>
        <v>35941</v>
      </c>
      <c r="F109" s="24" t="s">
        <v>288</v>
      </c>
      <c r="G109" s="24" t="s">
        <v>288</v>
      </c>
    </row>
    <row r="110" spans="1:7" x14ac:dyDescent="0.2">
      <c r="A110" t="s">
        <v>198</v>
      </c>
      <c r="B110" s="32" t="s">
        <v>199</v>
      </c>
      <c r="C110" s="95">
        <f>('DOE25'!L199)+('DOE25'!L217)+('DOE25'!L235)</f>
        <v>1902392</v>
      </c>
      <c r="D110" s="24" t="s">
        <v>288</v>
      </c>
      <c r="E110" s="95">
        <f>('DOE25'!L278)+('DOE25'!L297)+('DOE25'!L316)</f>
        <v>199404</v>
      </c>
      <c r="F110" s="24" t="s">
        <v>288</v>
      </c>
      <c r="G110" s="24" t="s">
        <v>288</v>
      </c>
    </row>
    <row r="111" spans="1:7" x14ac:dyDescent="0.2">
      <c r="A111" t="s">
        <v>200</v>
      </c>
      <c r="B111" s="32" t="s">
        <v>165</v>
      </c>
      <c r="C111" s="95">
        <f>('DOE25'!L200)+('DOE25'!L218)+('DOE25'!L236)</f>
        <v>18379</v>
      </c>
      <c r="D111" s="24" t="s">
        <v>288</v>
      </c>
      <c r="E111" s="95">
        <f>('DOE25'!L279)+('DOE25'!L298)+('DOE25'!L317)</f>
        <v>0</v>
      </c>
      <c r="F111" s="24" t="s">
        <v>288</v>
      </c>
      <c r="G111" s="24" t="s">
        <v>288</v>
      </c>
    </row>
    <row r="112" spans="1:7" x14ac:dyDescent="0.2">
      <c r="A112" t="s">
        <v>201</v>
      </c>
      <c r="B112" s="32" t="s">
        <v>167</v>
      </c>
      <c r="C112" s="95">
        <f>('DOE25'!L201)+('DOE25'!L219)+('DOE25'!L237)</f>
        <v>292669</v>
      </c>
      <c r="D112" s="24" t="s">
        <v>288</v>
      </c>
      <c r="E112" s="95">
        <f>+('DOE25'!L280)+('DOE25'!L299)+('DOE25'!L318)</f>
        <v>12269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6718299</v>
      </c>
      <c r="D115" s="86">
        <f>SUM(D109:D114)</f>
        <v>0</v>
      </c>
      <c r="E115" s="86">
        <f>SUM(E109:E114)</f>
        <v>247614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1171371</v>
      </c>
      <c r="D118" s="24" t="s">
        <v>288</v>
      </c>
      <c r="E118" s="95">
        <f>+('DOE25'!L282)+('DOE25'!L301)+('DOE25'!L320)</f>
        <v>0</v>
      </c>
      <c r="F118" s="24" t="s">
        <v>288</v>
      </c>
      <c r="G118" s="24" t="s">
        <v>288</v>
      </c>
    </row>
    <row r="119" spans="1:7" x14ac:dyDescent="0.2">
      <c r="A119" t="s">
        <v>208</v>
      </c>
      <c r="B119" s="32" t="s">
        <v>209</v>
      </c>
      <c r="C119" s="95">
        <f>('DOE25'!L204)+('DOE25'!L222)+('DOE25'!L240)</f>
        <v>997629</v>
      </c>
      <c r="D119" s="24" t="s">
        <v>288</v>
      </c>
      <c r="E119" s="95">
        <f>+('DOE25'!L283)+('DOE25'!L302)+('DOE25'!L321)</f>
        <v>30690</v>
      </c>
      <c r="F119" s="24" t="s">
        <v>288</v>
      </c>
      <c r="G119" s="24" t="s">
        <v>288</v>
      </c>
    </row>
    <row r="120" spans="1:7" x14ac:dyDescent="0.2">
      <c r="A120" t="s">
        <v>210</v>
      </c>
      <c r="B120" s="32" t="s">
        <v>211</v>
      </c>
      <c r="C120" s="95">
        <f>('DOE25'!L205)+('DOE25'!L223)+('DOE25'!L241)</f>
        <v>591339</v>
      </c>
      <c r="D120" s="24" t="s">
        <v>288</v>
      </c>
      <c r="E120" s="95">
        <f>+('DOE25'!L284)+('DOE25'!L303)+('DOE25'!L322)</f>
        <v>0</v>
      </c>
      <c r="F120" s="24" t="s">
        <v>288</v>
      </c>
      <c r="G120" s="24" t="s">
        <v>288</v>
      </c>
    </row>
    <row r="121" spans="1:7" x14ac:dyDescent="0.2">
      <c r="A121" t="s">
        <v>212</v>
      </c>
      <c r="B121" s="32" t="s">
        <v>213</v>
      </c>
      <c r="C121" s="95">
        <f>('DOE25'!L206)+('DOE25'!L224)+('DOE25'!L242)</f>
        <v>577201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1168726</v>
      </c>
      <c r="D123" s="24" t="s">
        <v>288</v>
      </c>
      <c r="E123" s="95">
        <f>+('DOE25'!L287)+('DOE25'!L306)+('DOE25'!L325)</f>
        <v>0</v>
      </c>
      <c r="F123" s="24" t="s">
        <v>288</v>
      </c>
      <c r="G123" s="24" t="s">
        <v>288</v>
      </c>
    </row>
    <row r="124" spans="1:7" x14ac:dyDescent="0.2">
      <c r="A124" t="s">
        <v>218</v>
      </c>
      <c r="B124" s="32" t="s">
        <v>219</v>
      </c>
      <c r="C124" s="95">
        <f>('DOE25'!L209)+('DOE25'!L227)+('DOE25'!L245+'DOE25'!L255)</f>
        <v>575604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155148</v>
      </c>
      <c r="E127" s="24" t="s">
        <v>288</v>
      </c>
      <c r="F127" s="24" t="s">
        <v>288</v>
      </c>
      <c r="G127" s="24" t="s">
        <v>288</v>
      </c>
    </row>
    <row r="128" spans="1:7" ht="12.75" thickTop="1" thickBot="1" x14ac:dyDescent="0.25">
      <c r="A128" s="33" t="s">
        <v>226</v>
      </c>
      <c r="C128" s="86">
        <f>SUM(C118:C127)</f>
        <v>5081870</v>
      </c>
      <c r="D128" s="86">
        <f>SUM(D118:D127)</f>
        <v>155148</v>
      </c>
      <c r="E128" s="86">
        <f>SUM(E118:E127)</f>
        <v>30690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113286</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-13286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100000</v>
      </c>
      <c r="D144" s="141">
        <f>SUM(D130:D143)</f>
        <v>0</v>
      </c>
      <c r="E144" s="141">
        <f>SUM(E130:E143)</f>
        <v>0</v>
      </c>
      <c r="F144" s="141">
        <f>SUM(F130:F143)</f>
        <v>0</v>
      </c>
      <c r="G144" s="141">
        <f>SUM(G130:G143)</f>
        <v>0</v>
      </c>
    </row>
    <row r="145" spans="1:9" ht="12.75" thickTop="1" thickBot="1" x14ac:dyDescent="0.25">
      <c r="A145" s="33" t="s">
        <v>244</v>
      </c>
      <c r="C145" s="86">
        <f>(C115+C128+C144)</f>
        <v>11900169</v>
      </c>
      <c r="D145" s="86">
        <f>(D115+D128+D144)</f>
        <v>155148</v>
      </c>
      <c r="E145" s="86">
        <f>(E115+E128+E144)</f>
        <v>278304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Sunapee</v>
      </c>
    </row>
    <row r="3" spans="1:4" x14ac:dyDescent="0.2">
      <c r="B3" s="188" t="s">
        <v>1587</v>
      </c>
    </row>
    <row r="4" spans="1:4" x14ac:dyDescent="0.2">
      <c r="B4" t="s">
        <v>61</v>
      </c>
      <c r="C4" s="179">
        <f>IF('DOE25'!F666+'DOE25'!F671=0,0,ROUND('DOE25'!F673,0))</f>
        <v>24141</v>
      </c>
    </row>
    <row r="5" spans="1:4" x14ac:dyDescent="0.2">
      <c r="B5" t="s">
        <v>700</v>
      </c>
      <c r="C5" s="179">
        <f>IF('DOE25'!G666+'DOE25'!G671=0,0,ROUND('DOE25'!G673,0))</f>
        <v>30583</v>
      </c>
    </row>
    <row r="6" spans="1:4" x14ac:dyDescent="0.2">
      <c r="B6" t="s">
        <v>62</v>
      </c>
      <c r="C6" s="179">
        <f>IF('DOE25'!H666+'DOE25'!H671=0,0,ROUND('DOE25'!H673,0))</f>
        <v>27534</v>
      </c>
    </row>
    <row r="7" spans="1:4" x14ac:dyDescent="0.2">
      <c r="B7" t="s">
        <v>701</v>
      </c>
      <c r="C7" s="179">
        <f>IF('DOE25'!I666+'DOE25'!I671=0,0,ROUND('DOE25'!I673,0))</f>
        <v>26919</v>
      </c>
    </row>
    <row r="9" spans="1:4" x14ac:dyDescent="0.2">
      <c r="A9" s="187" t="s">
        <v>94</v>
      </c>
      <c r="B9" s="188" t="s">
        <v>1588</v>
      </c>
      <c r="C9" s="181" t="s">
        <v>720</v>
      </c>
      <c r="D9" s="181" t="s">
        <v>721</v>
      </c>
    </row>
    <row r="10" spans="1:4" x14ac:dyDescent="0.2">
      <c r="A10">
        <v>1100</v>
      </c>
      <c r="B10" t="s">
        <v>702</v>
      </c>
      <c r="C10" s="179">
        <f>ROUND('DOE25'!L198+'DOE25'!L216+'DOE25'!L234+'DOE25'!L277+'DOE25'!L296+'DOE25'!L315,0)</f>
        <v>4540800</v>
      </c>
      <c r="D10" s="182">
        <f>ROUND((C10/$C$28)*100,1)</f>
        <v>37.299999999999997</v>
      </c>
    </row>
    <row r="11" spans="1:4" x14ac:dyDescent="0.2">
      <c r="A11">
        <v>1200</v>
      </c>
      <c r="B11" t="s">
        <v>703</v>
      </c>
      <c r="C11" s="179">
        <f>ROUND('DOE25'!L199+'DOE25'!L217+'DOE25'!L235+'DOE25'!L278+'DOE25'!L297+'DOE25'!L316,0)</f>
        <v>2101796</v>
      </c>
      <c r="D11" s="182">
        <f>ROUND((C11/$C$28)*100,1)</f>
        <v>17.3</v>
      </c>
    </row>
    <row r="12" spans="1:4" x14ac:dyDescent="0.2">
      <c r="A12">
        <v>1300</v>
      </c>
      <c r="B12" t="s">
        <v>704</v>
      </c>
      <c r="C12" s="179">
        <f>ROUND('DOE25'!L200+'DOE25'!L218+'DOE25'!L236+'DOE25'!L279+'DOE25'!L298+'DOE25'!L317,0)</f>
        <v>18379</v>
      </c>
      <c r="D12" s="182">
        <f>ROUND((C12/$C$28)*100,1)</f>
        <v>0.2</v>
      </c>
    </row>
    <row r="13" spans="1:4" x14ac:dyDescent="0.2">
      <c r="A13">
        <v>1400</v>
      </c>
      <c r="B13" t="s">
        <v>705</v>
      </c>
      <c r="C13" s="179">
        <f>ROUND('DOE25'!L201+'DOE25'!L219+'DOE25'!L237+'DOE25'!L280+'DOE25'!L299+'DOE25'!L318,0)</f>
        <v>304938</v>
      </c>
      <c r="D13" s="182">
        <f>ROUND((C13/$C$28)*100,1)</f>
        <v>2.5</v>
      </c>
    </row>
    <row r="14" spans="1:4" x14ac:dyDescent="0.2">
      <c r="D14" s="182"/>
    </row>
    <row r="15" spans="1:4" x14ac:dyDescent="0.2">
      <c r="A15">
        <v>2100</v>
      </c>
      <c r="B15" t="s">
        <v>706</v>
      </c>
      <c r="C15" s="179">
        <f>ROUND('DOE25'!L203+'DOE25'!L221+'DOE25'!L239+'DOE25'!L282+'DOE25'!L301+'DOE25'!L320,0)</f>
        <v>1171371</v>
      </c>
      <c r="D15" s="182">
        <f t="shared" ref="D15:D27" si="0">ROUND((C15/$C$28)*100,1)</f>
        <v>9.6</v>
      </c>
    </row>
    <row r="16" spans="1:4" x14ac:dyDescent="0.2">
      <c r="A16">
        <v>2200</v>
      </c>
      <c r="B16" t="s">
        <v>707</v>
      </c>
      <c r="C16" s="179">
        <f>ROUND('DOE25'!L204+'DOE25'!L222+'DOE25'!L240+'DOE25'!L283+'DOE25'!L302+'DOE25'!L321,0)</f>
        <v>1028319</v>
      </c>
      <c r="D16" s="182">
        <f t="shared" si="0"/>
        <v>8.5</v>
      </c>
    </row>
    <row r="17" spans="1:4" x14ac:dyDescent="0.2">
      <c r="A17" s="183" t="s">
        <v>723</v>
      </c>
      <c r="B17" t="s">
        <v>738</v>
      </c>
      <c r="C17" s="179">
        <f>ROUND('DOE25'!L205+'DOE25'!L210+'DOE25'!L223+'DOE25'!L228+'DOE25'!L241+'DOE25'!L246+'DOE25'!L284+'DOE25'!L289+'DOE25'!L303+'DOE25'!L308+'DOE25'!L322+'DOE25'!L327,0)</f>
        <v>591339</v>
      </c>
      <c r="D17" s="182">
        <f t="shared" si="0"/>
        <v>4.9000000000000004</v>
      </c>
    </row>
    <row r="18" spans="1:4" x14ac:dyDescent="0.2">
      <c r="A18">
        <v>2400</v>
      </c>
      <c r="B18" t="s">
        <v>711</v>
      </c>
      <c r="C18" s="179">
        <f>ROUND('DOE25'!L206+'DOE25'!L224+'DOE25'!L242+'DOE25'!L285+'DOE25'!L304+'DOE25'!L323,0)</f>
        <v>577201</v>
      </c>
      <c r="D18" s="182">
        <f t="shared" si="0"/>
        <v>4.7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1168726</v>
      </c>
      <c r="D20" s="182">
        <f t="shared" si="0"/>
        <v>9.6</v>
      </c>
    </row>
    <row r="21" spans="1:4" x14ac:dyDescent="0.2">
      <c r="A21">
        <v>2700</v>
      </c>
      <c r="B21" t="s">
        <v>710</v>
      </c>
      <c r="C21" s="179">
        <f>ROUND('DOE25'!L209+'DOE25'!L227+'DOE25'!L245+'DOE25'!L288+'DOE25'!L307+'DOE25'!L326,0)</f>
        <v>575604</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83996</v>
      </c>
      <c r="D27" s="182">
        <f t="shared" si="0"/>
        <v>0.7</v>
      </c>
    </row>
    <row r="28" spans="1:4" x14ac:dyDescent="0.2">
      <c r="B28" s="187" t="s">
        <v>719</v>
      </c>
      <c r="C28" s="180">
        <f>SUM(C10:C27)</f>
        <v>12162469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12162469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8903208</v>
      </c>
      <c r="D35" s="182">
        <f t="shared" ref="D35:D40" si="1">ROUND((C35/$C$41)*100,1)</f>
        <v>70.8</v>
      </c>
    </row>
    <row r="36" spans="1:4" x14ac:dyDescent="0.2">
      <c r="B36" s="185" t="s">
        <v>739</v>
      </c>
      <c r="C36" s="179">
        <f>SUM('DOE25'!F112:J112)-SUM('DOE25'!G97:G110)+('DOE25'!F175+'DOE25'!F176+'DOE25'!I175+'DOE25'!I176)-C35</f>
        <v>408318</v>
      </c>
      <c r="D36" s="182">
        <f t="shared" si="1"/>
        <v>3.2</v>
      </c>
    </row>
    <row r="37" spans="1:4" x14ac:dyDescent="0.2">
      <c r="A37" s="183" t="s">
        <v>835</v>
      </c>
      <c r="B37" s="185" t="s">
        <v>728</v>
      </c>
      <c r="C37" s="179">
        <f>ROUND('DOE25'!F117+'DOE25'!F118,0)</f>
        <v>2609473</v>
      </c>
      <c r="D37" s="182">
        <f t="shared" si="1"/>
        <v>20.7</v>
      </c>
    </row>
    <row r="38" spans="1:4" x14ac:dyDescent="0.2">
      <c r="A38" s="183" t="s">
        <v>734</v>
      </c>
      <c r="B38" s="185" t="s">
        <v>729</v>
      </c>
      <c r="C38" s="179">
        <f>ROUND(SUM('DOE25'!F140:J140)-SUM('DOE25'!F117:F119),0)</f>
        <v>318773</v>
      </c>
      <c r="D38" s="182">
        <f t="shared" si="1"/>
        <v>2.5</v>
      </c>
    </row>
    <row r="39" spans="1:4" x14ac:dyDescent="0.2">
      <c r="A39">
        <v>4000</v>
      </c>
      <c r="B39" s="185" t="s">
        <v>730</v>
      </c>
      <c r="C39" s="179">
        <f>ROUND('DOE25'!F170+'DOE25'!G170+'DOE25'!H170+'DOE25'!I170,0)</f>
        <v>341021</v>
      </c>
      <c r="D39" s="182">
        <f t="shared" si="1"/>
        <v>2.7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12580793</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Sunapee</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2020-10-26T16:15:49Z</cp:lastPrinted>
  <dcterms:created xsi:type="dcterms:W3CDTF">1997-12-04T19:04:30Z</dcterms:created>
  <dcterms:modified xsi:type="dcterms:W3CDTF">2020-12-14T13:11:51Z</dcterms:modified>
</cp:coreProperties>
</file>