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9" i="1" l="1"/>
  <c r="H544" i="1" l="1"/>
  <c r="J469" i="1" l="1"/>
  <c r="F460" i="1"/>
  <c r="F440" i="1"/>
  <c r="F198" i="1"/>
  <c r="H198" i="1"/>
  <c r="H209" i="1"/>
  <c r="H199" i="1"/>
  <c r="H235" i="1"/>
  <c r="H592" i="1"/>
  <c r="H524" i="1" l="1"/>
  <c r="K522" i="1"/>
  <c r="J522" i="1"/>
  <c r="I522" i="1"/>
  <c r="H522" i="1"/>
  <c r="G522" i="1"/>
  <c r="F522" i="1" l="1"/>
  <c r="F503" i="1"/>
  <c r="G503" i="1"/>
  <c r="G502" i="1"/>
  <c r="I503" i="1"/>
  <c r="H503" i="1"/>
  <c r="G499" i="1"/>
  <c r="H499" i="1"/>
  <c r="J96" i="1" l="1"/>
  <c r="G158" i="1"/>
  <c r="H440" i="1" l="1"/>
  <c r="G440" i="1"/>
  <c r="H24" i="1"/>
  <c r="G13" i="1"/>
  <c r="F25"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C13" i="10" s="1"/>
  <c r="L301" i="1"/>
  <c r="L302" i="1"/>
  <c r="L303" i="1"/>
  <c r="L304" i="1"/>
  <c r="L305" i="1"/>
  <c r="L306" i="1"/>
  <c r="L307" i="1"/>
  <c r="L308" i="1"/>
  <c r="E125" i="2" s="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F121" i="1"/>
  <c r="F136" i="1"/>
  <c r="G121" i="1"/>
  <c r="G136" i="1"/>
  <c r="H121" i="1"/>
  <c r="H136" i="1"/>
  <c r="I121" i="1"/>
  <c r="I136" i="1"/>
  <c r="J121" i="1"/>
  <c r="J136" i="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C119" i="2"/>
  <c r="E119" i="2"/>
  <c r="E120" i="2"/>
  <c r="E123"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51" i="1"/>
  <c r="G652" i="1"/>
  <c r="G653" i="1"/>
  <c r="H653" i="1"/>
  <c r="G654" i="1"/>
  <c r="H654" i="1"/>
  <c r="G655" i="1"/>
  <c r="H655" i="1"/>
  <c r="H656" i="1"/>
  <c r="J656" i="1" s="1"/>
  <c r="A40" i="12"/>
  <c r="G62" i="2"/>
  <c r="J572" i="1"/>
  <c r="J140" i="1"/>
  <c r="H140" i="1"/>
  <c r="J112" i="1" l="1"/>
  <c r="F409" i="1"/>
  <c r="H644" i="1" s="1"/>
  <c r="G646" i="1"/>
  <c r="J652" i="1"/>
  <c r="H477" i="1"/>
  <c r="H625" i="1" s="1"/>
  <c r="J625" i="1" s="1"/>
  <c r="C20" i="10"/>
  <c r="H409" i="1"/>
  <c r="H645" i="1" s="1"/>
  <c r="J645" i="1" s="1"/>
  <c r="C32" i="10"/>
  <c r="C110" i="2"/>
  <c r="F258" i="1"/>
  <c r="F272" i="1" s="1"/>
  <c r="I170" i="1"/>
  <c r="G409" i="1"/>
  <c r="H646" i="1" s="1"/>
  <c r="L257" i="1"/>
  <c r="C11" i="10"/>
  <c r="A31" i="12"/>
  <c r="G662" i="1"/>
  <c r="D18" i="13"/>
  <c r="C18" i="13" s="1"/>
  <c r="D15" i="13"/>
  <c r="C15" i="13" s="1"/>
  <c r="C121" i="2"/>
  <c r="C120" i="2"/>
  <c r="E112" i="2"/>
  <c r="K339" i="1"/>
  <c r="K353" i="1" s="1"/>
  <c r="C91" i="2"/>
  <c r="H112" i="1"/>
  <c r="L402" i="1"/>
  <c r="C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H661" i="1" s="1"/>
  <c r="L212" i="1"/>
  <c r="H648" i="1"/>
  <c r="J635" i="1"/>
  <c r="G626" i="1"/>
  <c r="L530"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H649" i="1"/>
  <c r="J653" i="1"/>
  <c r="G572" i="1"/>
  <c r="I435" i="1"/>
  <c r="G435" i="1"/>
  <c r="I664" i="1"/>
  <c r="C81" i="2" l="1"/>
  <c r="J646" i="1"/>
  <c r="G36" i="14"/>
  <c r="H36" i="14" s="1"/>
  <c r="I36" i="14" s="1"/>
  <c r="F661" i="1"/>
  <c r="F665" i="1" s="1"/>
  <c r="F668" i="1" s="1"/>
  <c r="C141" i="2"/>
  <c r="C144" i="2" s="1"/>
  <c r="G24" i="14"/>
  <c r="H24" i="14" s="1"/>
  <c r="I24" i="14" s="1"/>
  <c r="E145" i="2"/>
  <c r="H665" i="1"/>
  <c r="H668" i="1" s="1"/>
  <c r="F194" i="1"/>
  <c r="G628" i="1" s="1"/>
  <c r="J628" i="1"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 r="H525" i="1"/>
  <c r="H546" i="1" s="1"/>
  <c r="L522" i="1"/>
  <c r="L525" i="1" s="1"/>
  <c r="L546" i="1" s="1"/>
  <c r="F550" i="1" l="1"/>
  <c r="F553" i="1" l="1"/>
  <c r="K550" i="1"/>
  <c r="K553" i="1" s="1"/>
</calcChain>
</file>

<file path=xl/comments1.xml><?xml version="1.0" encoding="utf-8"?>
<comments xmlns="http://schemas.openxmlformats.org/spreadsheetml/2006/main">
  <authors>
    <author>Ron  Leclerc</author>
    <author>John Aubin</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F198" authorId="1" shapeId="0">
      <text>
        <r>
          <rPr>
            <b/>
            <sz val="9"/>
            <color indexed="81"/>
            <rFont val="Tahoma"/>
            <family val="2"/>
          </rPr>
          <t>John Aubin:</t>
        </r>
        <r>
          <rPr>
            <sz val="9"/>
            <color indexed="81"/>
            <rFont val="Tahoma"/>
            <family val="2"/>
          </rPr>
          <t xml:space="preserve">
adjustment made here for misposts</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<sst xmlns="http://schemas.openxmlformats.org/spreadsheetml/2006/main" count="5599" uniqueCount="1649">
  <si>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</si>
  <si>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</si>
  <si>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</si>
  <si>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</si>
  <si>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</si>
  <si>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</si>
  <si>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</si>
  <si>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</si>
  <si>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</si>
  <si>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</si>
  <si>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</si>
  <si>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</si>
  <si>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</si>
  <si>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</si>
  <si>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</si>
  <si>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</si>
  <si>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</si>
  <si>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</si>
  <si>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</si>
  <si>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</si>
  <si>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</si>
  <si>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</si>
  <si>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</si>
  <si>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</si>
  <si>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</si>
  <si>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</si>
  <si>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</si>
  <si>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</si>
  <si>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</si>
  <si>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</si>
  <si>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</si>
  <si>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</si>
  <si>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</si>
  <si>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</si>
  <si>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</si>
  <si>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</si>
  <si>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</si>
  <si>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</si>
  <si>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</si>
  <si>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</si>
  <si>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</si>
  <si>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</si>
  <si>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</si>
  <si>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</si>
  <si>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</si>
  <si>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</si>
  <si>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</si>
  <si>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</si>
  <si>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</si>
  <si>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</si>
  <si>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</si>
  <si>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</si>
  <si>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</si>
  <si>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</si>
  <si>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</si>
  <si>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</si>
  <si>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</si>
  <si>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</si>
  <si>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</si>
  <si>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</si>
  <si>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</si>
  <si>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</si>
  <si>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</si>
  <si>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</si>
  <si>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</si>
  <si>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</si>
  <si>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</si>
  <si>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</si>
  <si>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</si>
  <si>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</si>
  <si>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</si>
  <si>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</si>
  <si>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</si>
  <si>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</si>
  <si>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</si>
  <si>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</si>
  <si>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</si>
  <si>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</si>
  <si>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</si>
  <si>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</si>
  <si>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</si>
  <si>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</si>
  <si>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</si>
  <si>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</si>
  <si>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</si>
  <si>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</si>
  <si>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</si>
  <si>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</si>
  <si>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</si>
  <si>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</si>
  <si>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</si>
  <si>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</si>
  <si>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</si>
  <si>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</si>
  <si>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</si>
  <si>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</si>
  <si>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</si>
  <si>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</si>
  <si>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</si>
  <si>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</si>
  <si>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</si>
  <si>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</si>
  <si>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</si>
  <si>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</si>
  <si>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</si>
  <si>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</si>
  <si>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</si>
  <si>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</si>
  <si>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</si>
  <si>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</si>
  <si>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</si>
  <si>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</si>
  <si>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</si>
  <si>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</si>
  <si>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</si>
  <si>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</si>
  <si>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</si>
  <si>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</si>
  <si>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</si>
  <si>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</si>
  <si>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</si>
  <si>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</si>
  <si>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</si>
  <si>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</si>
  <si>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</si>
  <si>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</si>
  <si>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</si>
  <si>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</si>
  <si>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</si>
  <si>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</si>
  <si>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</si>
  <si>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</si>
  <si>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</si>
  <si>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</si>
  <si>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</si>
  <si>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</si>
  <si>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</si>
  <si>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</si>
  <si>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</si>
  <si>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</si>
  <si>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</si>
  <si>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</si>
  <si>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</si>
  <si>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</si>
  <si>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</si>
  <si>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</si>
  <si>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</si>
  <si>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</si>
  <si>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</si>
  <si>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</si>
  <si>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</si>
  <si>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</si>
  <si>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</si>
  <si>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</si>
  <si>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</si>
  <si>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</si>
  <si>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</si>
  <si>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</si>
  <si>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</si>
  <si>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</si>
  <si>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</si>
  <si>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</si>
  <si>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</si>
  <si>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</si>
  <si>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</si>
  <si>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</si>
  <si>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</si>
  <si>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</si>
  <si>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</si>
  <si>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</si>
  <si>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</si>
  <si>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</si>
  <si>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</si>
  <si>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</si>
  <si>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</si>
  <si>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</si>
  <si>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</si>
  <si>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</si>
  <si>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</si>
  <si>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</si>
  <si>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</si>
  <si>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</si>
  <si>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</si>
  <si>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</si>
  <si>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</si>
  <si>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</si>
  <si>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</si>
  <si>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</si>
  <si>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</si>
  <si>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</si>
  <si>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</si>
  <si>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</si>
  <si>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</si>
  <si>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</si>
  <si>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</si>
  <si>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</si>
  <si>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</si>
  <si>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</si>
  <si>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</si>
  <si>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</si>
  <si>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</si>
  <si>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</si>
  <si>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</si>
  <si>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</si>
  <si>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</si>
  <si>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</si>
  <si>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</si>
  <si>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</si>
  <si>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</si>
  <si>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</si>
  <si>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</si>
  <si>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</si>
  <si>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</si>
  <si>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</si>
  <si>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</si>
  <si>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</si>
  <si>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</si>
  <si>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</si>
  <si>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</si>
  <si>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</si>
  <si>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</si>
  <si>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</si>
  <si>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</si>
  <si>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</si>
  <si>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</si>
  <si>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</si>
  <si>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</si>
  <si>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</si>
  <si>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</si>
  <si>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</si>
  <si>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</si>
  <si>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</si>
  <si>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</si>
  <si>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</si>
  <si>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</si>
  <si>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</si>
  <si>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</si>
  <si>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</si>
  <si>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</si>
  <si>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</si>
  <si>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</si>
  <si>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</si>
  <si>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</si>
  <si>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</si>
  <si>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</si>
  <si>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</si>
  <si>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</si>
  <si>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</si>
  <si>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</si>
  <si>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</si>
  <si>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</si>
  <si>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</si>
  <si>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</si>
  <si>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</si>
  <si>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</si>
  <si>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</si>
  <si>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</si>
  <si>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</si>
  <si>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</si>
  <si>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</si>
  <si>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</si>
  <si>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</si>
  <si>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</si>
  <si>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</si>
  <si>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</si>
  <si>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</si>
  <si>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</si>
  <si>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</si>
  <si>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</si>
  <si>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</si>
  <si>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</si>
  <si>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</si>
  <si>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</si>
  <si>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</si>
  <si>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</si>
  <si>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</si>
  <si>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</si>
  <si>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</si>
  <si>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</si>
  <si>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</si>
  <si>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</si>
  <si>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</si>
  <si>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</si>
  <si>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</si>
  <si>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</si>
  <si>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</si>
  <si>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</si>
  <si>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</si>
  <si>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</si>
  <si>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</si>
  <si>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</si>
  <si>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</si>
  <si>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</si>
  <si>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</si>
  <si>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</si>
  <si>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</si>
  <si>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</si>
  <si>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</si>
  <si>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</si>
  <si>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</si>
  <si>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</si>
  <si>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</si>
  <si>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</si>
  <si>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</si>
  <si>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</si>
  <si>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</si>
  <si>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</si>
  <si>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</si>
  <si>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</si>
  <si>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</si>
  <si>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</si>
  <si>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</si>
  <si>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</si>
  <si>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</si>
  <si>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</si>
  <si>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</si>
  <si>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</si>
  <si>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</si>
  <si>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</si>
  <si>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</si>
  <si>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</si>
  <si>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</si>
  <si>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</si>
  <si>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</si>
  <si>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</si>
  <si>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</si>
  <si>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</si>
  <si>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</si>
  <si>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</si>
  <si>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</si>
  <si>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</si>
  <si>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</si>
  <si>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</si>
  <si>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</si>
  <si>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</si>
  <si>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</si>
  <si>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</si>
  <si>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</si>
  <si>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</si>
  <si>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</si>
  <si>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</si>
  <si>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</si>
  <si>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</si>
  <si>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</si>
  <si>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</si>
  <si>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</si>
  <si>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</si>
  <si>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</si>
  <si>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</si>
  <si>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</si>
  <si>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</si>
  <si>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</si>
  <si>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</si>
  <si>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</si>
  <si>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</si>
  <si>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</si>
  <si>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</si>
  <si>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</si>
  <si>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</si>
  <si>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</si>
  <si>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</si>
  <si>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</si>
  <si>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</si>
  <si>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</si>
  <si>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</si>
  <si>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</si>
  <si>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</si>
  <si>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</si>
  <si>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</si>
  <si>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</si>
  <si>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</si>
  <si>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</si>
  <si>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</si>
  <si>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</si>
  <si>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</si>
  <si>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</si>
  <si>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</si>
  <si>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</si>
  <si>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</si>
  <si>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</si>
  <si>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</si>
  <si>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</si>
  <si>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</si>
  <si>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</si>
  <si>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</si>
  <si>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</si>
  <si>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</si>
  <si>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</si>
  <si>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</si>
  <si>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</si>
  <si>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</si>
  <si>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</si>
  <si>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</si>
  <si>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</si>
  <si>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</si>
  <si>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</si>
  <si>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</si>
  <si>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</si>
  <si>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</si>
  <si>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</si>
  <si>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</si>
  <si>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</si>
  <si>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</si>
  <si>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</si>
  <si>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</si>
  <si>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</si>
  <si>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</si>
  <si>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</si>
  <si>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</si>
  <si>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</si>
  <si>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</si>
  <si>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</si>
  <si>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</si>
  <si>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</si>
  <si>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</si>
  <si>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</si>
  <si>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</si>
  <si>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</si>
  <si>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</si>
  <si>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</si>
  <si>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</si>
  <si>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</si>
  <si>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</si>
  <si>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</si>
  <si>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</si>
  <si>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</si>
  <si>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</si>
  <si>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</si>
  <si>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</si>
  <si>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</si>
  <si>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</si>
  <si>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</si>
  <si>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</si>
  <si>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</si>
  <si>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</si>
  <si>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</si>
  <si>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</si>
  <si>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</si>
  <si>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</si>
  <si>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</si>
  <si>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</si>
  <si>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</si>
  <si>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</si>
  <si>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</si>
  <si>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</si>
  <si>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</si>
  <si>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</si>
  <si>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</si>
  <si>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</si>
  <si>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</si>
  <si>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</si>
  <si>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</si>
  <si>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</si>
  <si>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</si>
  <si>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</si>
  <si>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</si>
  <si>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</si>
  <si>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</si>
  <si>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</si>
  <si>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</si>
  <si>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</si>
  <si>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</si>
  <si>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</si>
  <si>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</si>
  <si>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</si>
  <si>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</si>
  <si>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</si>
  <si>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</si>
  <si>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</si>
  <si>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</si>
  <si>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</si>
  <si>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</si>
  <si>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</si>
  <si>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</si>
  <si>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</si>
  <si>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</si>
  <si>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</si>
  <si>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</si>
  <si>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</si>
  <si>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</si>
  <si>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</si>
  <si>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</si>
  <si>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</si>
  <si>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</si>
  <si>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</si>
  <si>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</si>
  <si>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</si>
  <si>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</si>
  <si>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</si>
  <si>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</si>
  <si>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</si>
  <si>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</si>
  <si>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</si>
  <si>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</si>
  <si>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</si>
  <si>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</si>
  <si>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</si>
  <si>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</si>
  <si>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</si>
  <si>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</si>
  <si>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</si>
  <si>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</si>
  <si>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</si>
  <si>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</si>
  <si>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</si>
  <si>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</si>
  <si>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</si>
  <si>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</si>
  <si>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</si>
  <si>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</si>
  <si>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</si>
  <si>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</si>
  <si>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</si>
  <si>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</si>
  <si>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</si>
  <si>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</si>
  <si>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</si>
  <si>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</si>
  <si>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</si>
  <si>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</si>
  <si>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</si>
  <si>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</si>
  <si>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</si>
  <si>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</si>
  <si>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</si>
  <si>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</si>
  <si>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</si>
  <si>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</si>
  <si>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</si>
  <si>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</si>
  <si>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</si>
  <si>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</si>
  <si>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</si>
  <si>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</si>
  <si>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</si>
  <si>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</si>
  <si>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</si>
  <si>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</si>
  <si>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</si>
  <si>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</si>
  <si>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</si>
  <si>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</si>
  <si>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</si>
  <si>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</si>
  <si>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</si>
  <si>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</si>
  <si>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</si>
  <si>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</si>
  <si>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</si>
  <si>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</si>
  <si>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</si>
  <si>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</si>
  <si>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</si>
  <si>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</si>
  <si>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</si>
  <si>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</si>
  <si>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</si>
  <si>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</si>
  <si>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</si>
  <si>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</si>
  <si>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</si>
  <si>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</si>
  <si>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</si>
  <si>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</si>
  <si>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</si>
  <si>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</si>
  <si>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</si>
  <si>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</si>
  <si>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</si>
  <si>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</si>
  <si>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</si>
  <si>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</si>
  <si>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</si>
  <si>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</si>
  <si>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</si>
  <si>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</si>
  <si>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</si>
  <si>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</si>
  <si>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</si>
  <si>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</si>
  <si>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</si>
  <si>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</si>
  <si>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</si>
  <si>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</si>
  <si>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</si>
  <si>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</si>
  <si>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</si>
  <si>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</si>
  <si>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</si>
  <si>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</si>
  <si>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</si>
  <si>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</si>
  <si>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</si>
  <si>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</si>
  <si>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</si>
  <si>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</si>
  <si>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</si>
  <si>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</si>
  <si>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</si>
  <si>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</si>
  <si>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</si>
  <si>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</si>
  <si>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</si>
  <si>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</si>
  <si>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</si>
  <si>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</si>
  <si>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</si>
  <si>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</si>
  <si>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</si>
  <si>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</si>
  <si>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</si>
  <si>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</si>
  <si>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</si>
  <si>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</si>
  <si>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</si>
  <si>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</si>
  <si>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</si>
  <si>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</si>
  <si>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</si>
  <si>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</si>
  <si>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</si>
  <si>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</si>
  <si>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</si>
  <si>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</si>
  <si>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</si>
  <si>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</si>
  <si>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</si>
  <si>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</si>
  <si>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</si>
  <si>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</si>
  <si>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</si>
  <si>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</si>
  <si>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</si>
  <si>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</si>
  <si>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</si>
  <si>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</si>
  <si>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</si>
  <si>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</si>
  <si>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</si>
  <si>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</si>
  <si>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</si>
  <si>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</si>
  <si>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</si>
  <si>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</si>
  <si>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</si>
  <si>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</si>
  <si>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</si>
  <si>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</si>
  <si>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</si>
  <si>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</si>
  <si>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</si>
  <si>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</si>
  <si>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</si>
  <si>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</si>
  <si>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</si>
  <si>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</si>
  <si>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</si>
  <si>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</si>
  <si>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</si>
  <si>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</si>
  <si>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</si>
  <si>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</si>
  <si>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</si>
  <si>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</si>
  <si>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</si>
  <si>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</si>
  <si>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</si>
  <si>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</si>
  <si>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</si>
  <si>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</si>
  <si>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</si>
  <si>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</si>
  <si>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</si>
  <si>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</si>
  <si>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</si>
  <si>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</si>
  <si>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</si>
  <si>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</si>
  <si>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</si>
  <si>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</si>
  <si>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</si>
  <si>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</si>
  <si>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</si>
  <si>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</si>
  <si>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</si>
  <si>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</si>
  <si>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</si>
  <si>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</si>
  <si>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</si>
  <si>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</si>
  <si>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</si>
  <si>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</si>
  <si>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</si>
  <si>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</si>
  <si>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</si>
  <si>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</si>
  <si>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</si>
  <si>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</si>
  <si>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</si>
  <si>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</si>
  <si>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</si>
  <si>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</si>
  <si>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</si>
  <si>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</si>
  <si>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</si>
  <si>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</si>
  <si>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</si>
  <si>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</si>
  <si>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</si>
  <si>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</si>
  <si>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</si>
  <si>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</si>
  <si>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</si>
  <si>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</si>
  <si>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</si>
  <si>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</si>
  <si>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</si>
  <si>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</si>
  <si>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</si>
  <si>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</si>
  <si>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</si>
  <si>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</si>
  <si>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</si>
  <si>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</si>
  <si>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</si>
  <si>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</si>
  <si>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</si>
  <si>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</si>
  <si>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</si>
  <si>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</si>
  <si>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</si>
  <si>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</si>
  <si>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</si>
  <si>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</si>
  <si>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</si>
  <si>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</si>
  <si>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</si>
  <si>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</si>
  <si>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</si>
  <si>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</si>
  <si>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</si>
  <si>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</si>
  <si>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</si>
  <si>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</si>
  <si>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</si>
  <si>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</si>
  <si>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</si>
  <si>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</si>
  <si>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</si>
  <si>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</si>
  <si>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</si>
  <si>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</si>
  <si>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</si>
  <si>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</si>
  <si>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</si>
  <si>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</si>
  <si>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</si>
  <si>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</si>
  <si>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</si>
  <si>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</si>
  <si>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</si>
  <si>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</si>
  <si>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</si>
  <si>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</si>
  <si>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</si>
  <si>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</si>
  <si>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</si>
  <si>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</si>
  <si>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</si>
  <si>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</si>
  <si>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</si>
  <si>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</si>
  <si>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</si>
  <si>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</si>
  <si>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</si>
  <si>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</si>
  <si>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</si>
  <si>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</si>
  <si>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</si>
  <si>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</si>
  <si>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</si>
  <si>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</si>
  <si>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</si>
  <si>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</si>
  <si>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</si>
  <si>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</si>
  <si>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</si>
  <si>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</si>
  <si>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</si>
  <si>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</si>
  <si>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</si>
  <si>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</si>
  <si>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</si>
  <si>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</si>
  <si>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</si>
  <si>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</si>
  <si>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</si>
  <si>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</si>
  <si>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</si>
  <si>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</si>
  <si>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</si>
  <si>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</si>
  <si>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</si>
  <si>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</si>
  <si>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</si>
  <si>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</si>
  <si>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</si>
  <si>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</si>
  <si>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</si>
  <si>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</si>
  <si>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</si>
  <si>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</si>
  <si>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</si>
  <si>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</si>
  <si>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</si>
  <si>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</si>
  <si>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</si>
  <si>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</si>
  <si>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</si>
  <si>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</si>
  <si>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</si>
  <si>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</si>
  <si>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</si>
  <si>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</si>
  <si>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</si>
  <si>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</si>
  <si>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</si>
  <si>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</si>
  <si>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</si>
  <si>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</si>
  <si>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</si>
  <si>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</si>
  <si>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</si>
  <si>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</si>
  <si>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</si>
  <si>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</si>
  <si>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</si>
  <si>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</si>
  <si>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</si>
  <si>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</si>
  <si>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</si>
  <si>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</si>
  <si>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</si>
  <si>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</si>
  <si>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</si>
  <si>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</si>
  <si>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</si>
  <si>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</si>
  <si>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</si>
  <si>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</si>
  <si>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</si>
  <si>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</si>
  <si>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</si>
  <si>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</si>
  <si>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</si>
  <si>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</si>
  <si>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</si>
  <si>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</si>
  <si>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</si>
  <si>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</si>
  <si>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</si>
  <si>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</si>
  <si>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</si>
  <si>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</si>
  <si>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</si>
  <si>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</si>
  <si>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</si>
  <si>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</si>
  <si>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</si>
  <si>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</si>
  <si>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</si>
  <si>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</si>
  <si>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</si>
  <si>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</si>
  <si>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</si>
  <si>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</si>
  <si>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</si>
  <si>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</si>
  <si>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</si>
  <si>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</si>
  <si>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</si>
  <si>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</si>
  <si>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</si>
  <si>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</si>
  <si>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</si>
  <si>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</si>
  <si>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</si>
  <si>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</si>
  <si>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</si>
  <si>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</si>
  <si>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</si>
  <si>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</si>
  <si>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</si>
  <si>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</si>
  <si>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</si>
  <si>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</si>
  <si>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</si>
  <si>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</si>
  <si>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</si>
  <si>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</si>
  <si>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</si>
  <si>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</si>
  <si>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</si>
  <si>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</si>
  <si>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</si>
  <si>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</si>
  <si>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</si>
  <si>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</si>
  <si>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</si>
  <si>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</si>
  <si>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</si>
  <si>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</si>
  <si>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</si>
  <si>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</si>
  <si>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</si>
  <si>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</si>
  <si>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</si>
  <si>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</si>
  <si>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</si>
  <si>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</si>
  <si>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</si>
  <si>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</si>
  <si>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</si>
  <si>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</si>
  <si>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</si>
  <si>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</si>
  <si>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</si>
  <si>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</si>
  <si>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</si>
  <si>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</si>
  <si>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</si>
  <si>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</si>
  <si>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</si>
  <si>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</si>
  <si>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</si>
  <si>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</si>
  <si>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</si>
  <si>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</si>
  <si>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</si>
  <si>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</si>
  <si>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</si>
  <si>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</si>
  <si>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</si>
  <si>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</si>
  <si>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</si>
  <si>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</si>
  <si>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</si>
  <si>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</si>
  <si>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</si>
  <si>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</si>
  <si>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</si>
  <si>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</si>
  <si>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</si>
  <si>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</si>
  <si>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</si>
  <si>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</si>
  <si>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</si>
  <si>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</si>
  <si>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</si>
  <si>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</si>
  <si>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</si>
  <si>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</si>
  <si>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</si>
  <si>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</si>
  <si>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</si>
  <si>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</si>
  <si>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</si>
  <si>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</si>
  <si>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</si>
  <si>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</si>
  <si>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</si>
  <si>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</si>
  <si>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</si>
  <si>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</si>
  <si>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</si>
  <si>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</si>
  <si>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</si>
  <si>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</si>
  <si>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</si>
  <si>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</si>
  <si>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</si>
  <si>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</si>
  <si>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</si>
  <si>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</si>
  <si>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</si>
  <si>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</si>
  <si>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</si>
  <si>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</si>
  <si>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</si>
  <si>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</si>
  <si>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</si>
  <si>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</si>
  <si>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</si>
  <si>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</si>
  <si>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</si>
  <si>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</si>
  <si>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</si>
  <si>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</si>
  <si>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</si>
  <si>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</si>
  <si>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</si>
  <si>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</si>
  <si>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</si>
  <si>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</si>
  <si>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</si>
  <si>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</si>
  <si>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</si>
  <si>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</si>
  <si>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</si>
  <si>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</si>
  <si>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</si>
  <si>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</si>
  <si>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</si>
  <si>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</si>
  <si>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</si>
  <si>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</si>
  <si>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</si>
  <si>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</si>
  <si>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</si>
  <si>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</si>
  <si>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</si>
  <si>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</si>
  <si>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</si>
  <si>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</si>
  <si>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</si>
  <si>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</si>
  <si>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</si>
  <si>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</si>
  <si>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</si>
  <si>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</si>
  <si>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</si>
  <si>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</si>
  <si>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</si>
  <si>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</si>
  <si>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</si>
  <si>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</si>
  <si>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</si>
  <si>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</si>
  <si>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</si>
  <si>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</si>
  <si>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</si>
  <si>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</si>
  <si>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</si>
  <si>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</si>
  <si>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</si>
  <si>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</si>
  <si>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</si>
  <si>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</si>
  <si>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</si>
  <si>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</si>
  <si>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</si>
  <si>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</si>
  <si>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</si>
  <si>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</si>
  <si>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</si>
  <si>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</si>
  <si>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</si>
  <si>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</si>
  <si>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</si>
  <si>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</si>
  <si>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</si>
  <si>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</si>
  <si>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</si>
  <si>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</si>
  <si>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</si>
  <si>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</si>
  <si>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</si>
  <si>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</si>
  <si>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</si>
  <si>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</si>
  <si>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</si>
  <si>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</si>
  <si>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</si>
  <si>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</si>
  <si>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</si>
  <si>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</si>
  <si>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</si>
  <si>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</si>
  <si>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</si>
  <si>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</si>
  <si>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</si>
  <si>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</si>
  <si>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</si>
  <si>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</si>
  <si>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</si>
  <si>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</si>
  <si>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</si>
  <si>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</si>
  <si>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</si>
  <si>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</si>
  <si>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</si>
  <si>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</si>
  <si>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</si>
  <si>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</si>
  <si>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</si>
  <si>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</si>
  <si>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</si>
  <si>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</si>
  <si>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</si>
  <si>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</si>
  <si>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</si>
  <si>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</si>
  <si>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</si>
  <si>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</si>
  <si>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</si>
  <si>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</si>
  <si>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</si>
  <si>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</si>
  <si>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</si>
  <si>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</si>
  <si>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</si>
  <si>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</si>
  <si>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</si>
  <si>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</si>
  <si>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</si>
  <si>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</si>
  <si>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</si>
  <si>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</si>
  <si>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</si>
  <si>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</si>
  <si>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</si>
  <si>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</si>
  <si>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</si>
  <si>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</si>
  <si>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</si>
  <si>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</si>
  <si>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</si>
  <si>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</si>
  <si>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</si>
  <si>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</si>
  <si>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</si>
  <si>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</si>
  <si>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</si>
  <si>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</si>
  <si>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</si>
  <si>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</si>
  <si>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</si>
  <si>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</si>
  <si>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</si>
  <si>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</si>
  <si>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</si>
  <si>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</si>
  <si>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</si>
  <si>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</si>
  <si>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</si>
  <si>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</si>
  <si>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</si>
  <si>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</si>
  <si>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</si>
  <si>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</si>
  <si>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</si>
  <si>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</si>
  <si>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</si>
  <si>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</si>
  <si>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</si>
  <si>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</si>
  <si>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</si>
  <si>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</si>
  <si>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</si>
  <si>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</si>
  <si>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</si>
  <si>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</si>
  <si>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</si>
  <si>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</si>
  <si>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</si>
  <si>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</si>
  <si>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</si>
  <si>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</si>
  <si>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</si>
  <si>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</si>
  <si>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</si>
  <si>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</si>
  <si>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</si>
  <si>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</si>
  <si>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</si>
  <si>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</si>
  <si>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</si>
  <si>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</si>
  <si>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</si>
  <si>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</si>
  <si>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</si>
  <si>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</si>
  <si>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</si>
  <si>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</si>
  <si>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</si>
  <si>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</si>
  <si>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</si>
  <si>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</si>
  <si>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</si>
  <si>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</si>
  <si>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</si>
  <si>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</si>
  <si>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</si>
  <si>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</si>
  <si>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</si>
  <si>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</si>
  <si>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</si>
  <si>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</si>
  <si>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</si>
  <si>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</si>
  <si>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</si>
  <si>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</si>
  <si>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</si>
  <si>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</si>
  <si>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</si>
  <si>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</si>
  <si>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</si>
  <si>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</si>
  <si>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</si>
  <si>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</si>
  <si>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</si>
  <si>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</si>
  <si>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</si>
  <si>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</si>
  <si>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</si>
  <si>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</si>
  <si>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</si>
  <si>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</si>
  <si>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</si>
  <si>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</si>
  <si>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</si>
  <si>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</si>
  <si>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</si>
  <si>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</si>
  <si>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</si>
  <si>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</si>
  <si>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</si>
  <si>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</si>
  <si>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</si>
  <si>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</si>
  <si>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</si>
  <si>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</si>
  <si>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</si>
  <si>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</si>
  <si>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</si>
  <si>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</si>
  <si>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</si>
  <si>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</si>
  <si>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</si>
  <si>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</si>
  <si>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</si>
  <si>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</si>
  <si>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</si>
  <si>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</si>
  <si>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</si>
  <si>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</si>
  <si>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</si>
  <si>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</si>
  <si>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</si>
  <si>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</si>
  <si>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</si>
  <si>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</si>
  <si>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</si>
  <si>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</si>
  <si>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</si>
  <si>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</si>
  <si>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</si>
  <si>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</si>
  <si>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</si>
  <si>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</si>
  <si>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</si>
  <si>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</si>
  <si>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</si>
  <si>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</si>
  <si>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</si>
  <si>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</si>
  <si>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</si>
  <si>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</si>
  <si>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</si>
  <si>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</si>
  <si>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</si>
  <si>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</si>
  <si>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</si>
  <si>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</si>
  <si>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</si>
  <si>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</si>
  <si>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</si>
  <si>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</si>
  <si>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</si>
  <si>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</si>
  <si>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</si>
  <si>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</si>
  <si>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</si>
  <si>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</si>
  <si>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</si>
  <si>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</si>
  <si>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</si>
  <si>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</si>
  <si>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</si>
  <si>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</si>
  <si>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</si>
  <si>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</si>
  <si>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</si>
  <si>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</si>
  <si>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</si>
  <si>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</si>
  <si>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</si>
  <si>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</si>
  <si>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</si>
  <si>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</si>
  <si>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</si>
  <si>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</si>
  <si>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</si>
  <si>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</si>
  <si>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</si>
  <si>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</si>
  <si>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</si>
  <si>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</si>
  <si>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</si>
  <si>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</si>
  <si>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</si>
  <si>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</si>
  <si>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</si>
  <si>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</si>
  <si>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</si>
  <si>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</si>
  <si>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</si>
  <si>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</si>
  <si>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</si>
  <si>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</si>
  <si>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</si>
  <si>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</si>
  <si>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</si>
  <si>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</si>
  <si>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</si>
  <si>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</si>
  <si>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</si>
  <si>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</si>
  <si>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</si>
  <si>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</si>
  <si>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</si>
  <si>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</si>
  <si>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</si>
  <si>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</si>
  <si>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</si>
  <si>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</si>
  <si>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</si>
  <si>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</si>
  <si>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</si>
  <si>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</si>
  <si>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</si>
  <si>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</si>
  <si>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</si>
  <si>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</si>
  <si>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</si>
  <si>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</si>
  <si>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</si>
  <si>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</si>
  <si>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</si>
  <si>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</si>
  <si>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</si>
  <si>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</si>
  <si>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</si>
  <si>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</si>
  <si>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</si>
  <si>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</si>
  <si>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</si>
  <si>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</si>
  <si>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</si>
  <si>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</si>
  <si>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</si>
  <si>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</si>
  <si>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</si>
  <si>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</si>
  <si>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</si>
  <si>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</si>
  <si>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</si>
  <si>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</si>
  <si>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</si>
  <si>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</si>
  <si>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</si>
  <si>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</si>
  <si>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</si>
  <si>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</si>
  <si>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</si>
  <si>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</si>
  <si>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</si>
  <si>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</si>
  <si>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</si>
  <si>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</si>
  <si>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</si>
  <si>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</si>
  <si>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</si>
  <si>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</si>
  <si>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</si>
  <si>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</si>
  <si>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</si>
  <si>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</si>
  <si>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</si>
  <si>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</si>
  <si>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</si>
  <si>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</si>
  <si>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</si>
  <si>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</si>
  <si>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</si>
  <si>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</si>
  <si>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</si>
  <si>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</si>
  <si>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</si>
  <si>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</si>
  <si>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</si>
  <si>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</si>
  <si>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</si>
  <si>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</si>
  <si>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</si>
  <si>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</si>
  <si>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</si>
  <si>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</si>
  <si>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</si>
  <si>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</si>
  <si>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</si>
  <si>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</si>
  <si>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</si>
  <si>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</si>
  <si>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</si>
  <si>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</si>
  <si>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</si>
  <si>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</si>
  <si>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</si>
  <si>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</si>
  <si>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</si>
  <si>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</si>
  <si>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</si>
  <si>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</si>
  <si>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</si>
  <si>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</si>
  <si>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</si>
  <si>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</si>
  <si>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</si>
  <si>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</si>
  <si>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</si>
  <si>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</si>
  <si>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</si>
  <si>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</si>
  <si>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</si>
  <si>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</si>
  <si>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</si>
  <si>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</si>
  <si>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</si>
  <si>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</si>
  <si>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</si>
  <si>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</si>
  <si>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</si>
  <si>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</si>
  <si>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</si>
  <si>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</si>
  <si>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</si>
  <si>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</si>
  <si>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</si>
  <si>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</si>
  <si>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</si>
  <si>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</si>
  <si>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</si>
  <si>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</si>
  <si>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</si>
  <si>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</si>
  <si>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</si>
  <si>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</si>
  <si>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</si>
  <si>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</si>
  <si>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</si>
  <si>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</si>
  <si>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</si>
  <si>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</si>
  <si>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</si>
  <si>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</si>
  <si>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</si>
  <si>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</si>
  <si>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</si>
  <si>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</si>
  <si>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</si>
  <si>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</si>
  <si>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</si>
  <si>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</si>
  <si>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</si>
  <si>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</si>
  <si>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</si>
  <si>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</si>
  <si>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</si>
  <si>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</si>
  <si>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</si>
  <si>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</si>
  <si>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</si>
  <si>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</si>
  <si>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</si>
  <si>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</si>
  <si>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</si>
  <si>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</si>
  <si>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</si>
  <si>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</si>
  <si>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</si>
  <si>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</si>
  <si>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</si>
  <si>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</si>
  <si>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</si>
  <si>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</si>
  <si>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</si>
  <si>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</si>
  <si>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</si>
  <si>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</si>
  <si>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</si>
  <si>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</si>
  <si>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</si>
  <si>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</si>
  <si>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</si>
  <si>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</si>
  <si>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</si>
  <si>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</si>
  <si>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</si>
  <si>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</si>
  <si>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</si>
  <si>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</si>
  <si>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</si>
  <si>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</si>
  <si>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</si>
  <si>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</si>
  <si>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</si>
  <si>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</si>
  <si>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</si>
  <si>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</si>
  <si>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</si>
  <si>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</si>
  <si>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</si>
  <si>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</si>
  <si>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</si>
  <si>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</si>
  <si>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</si>
  <si>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</si>
  <si>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</si>
  <si>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</si>
  <si>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</si>
  <si>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</si>
  <si>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</si>
  <si>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</si>
  <si>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</si>
  <si>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</si>
  <si>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</si>
  <si>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</si>
  <si>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</si>
  <si>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</si>
  <si>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</si>
  <si>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</si>
  <si>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</si>
  <si>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</si>
  <si>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</si>
  <si>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</si>
  <si>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</si>
  <si>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</si>
  <si>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</si>
  <si>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</si>
  <si>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</si>
  <si>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</si>
  <si>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</si>
  <si>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</si>
  <si>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</si>
  <si>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</si>
  <si>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</si>
  <si>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</si>
  <si>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</si>
  <si>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</si>
  <si>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</si>
  <si>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</si>
  <si>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</si>
  <si>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</si>
  <si>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</si>
  <si>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</si>
  <si>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</si>
  <si>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</si>
  <si>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</si>
  <si>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</si>
  <si>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</si>
  <si>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</si>
  <si>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</si>
  <si>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</si>
  <si>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</si>
  <si>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</si>
  <si>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</si>
  <si>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</si>
  <si>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</si>
  <si>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</si>
  <si>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</si>
  <si>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</si>
  <si>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</si>
  <si>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</si>
  <si>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</si>
  <si>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</si>
  <si>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</si>
  <si>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</si>
  <si>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</si>
  <si>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</si>
  <si>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</si>
  <si>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</si>
  <si>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</si>
  <si>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</si>
  <si>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</si>
  <si>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</si>
  <si>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</si>
  <si>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</si>
  <si>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</si>
  <si>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</si>
  <si>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</si>
  <si>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</si>
  <si>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</si>
  <si>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</si>
  <si>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</si>
  <si>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</si>
  <si>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</si>
  <si>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</si>
  <si>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</si>
  <si>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</si>
  <si>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</si>
  <si>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</si>
  <si>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</si>
  <si>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</si>
  <si>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</si>
  <si>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</si>
  <si>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</si>
  <si>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</si>
  <si>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</si>
  <si>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</si>
  <si>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</si>
  <si>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</si>
  <si>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</si>
  <si>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</si>
  <si>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</si>
  <si>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</si>
  <si>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</si>
  <si>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</si>
  <si>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</si>
  <si>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</si>
  <si>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</si>
  <si>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</si>
  <si>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</si>
  <si>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</si>
  <si>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</si>
  <si>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</si>
  <si>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</si>
  <si>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</si>
  <si>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</si>
  <si>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</si>
  <si>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</si>
  <si>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</si>
  <si>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Unity School District</t>
  </si>
  <si>
    <t>d</t>
  </si>
  <si>
    <t>07/12</t>
  </si>
  <si>
    <t>07/13</t>
  </si>
  <si>
    <t>08/32</t>
  </si>
  <si>
    <t>07/33</t>
  </si>
  <si>
    <t>20,000 addition to expendable trust for caital and tuition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</si>
</sst>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0"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9"/>
      <color indexed="81"/>
      <name val="Tahoma"/>
      <family val="2"/>
    </font>
    <font>
      <sz val="9"/>
      <color indexed="81"/>
      <name val="Tahoma"/>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C607" zoomScale="110" zoomScaleNormal="110" workbookViewId="0">
      <selection activeCell="F47" sqref="F4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539</v>
      </c>
      <c r="C2" s="21">
        <v>539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t="s">
        <v>1643</v>
      </c>
    </row>
    <row r="9" spans="1:14" s="3" customFormat="1" ht="12.2" customHeight="1" x14ac:dyDescent="0.15">
      <c r="A9" s="1" t="s">
        <v>561</v>
      </c>
      <c r="B9" s="2" t="s">
        <v>289</v>
      </c>
      <c r="C9" s="6">
        <v>1</v>
      </c>
      <c r="D9" s="2" t="s">
        <v>428</v>
      </c>
      <c r="E9" s="6">
        <v>100</v>
      </c>
      <c r="F9" s="18">
        <f>17462.73-16.57+917275.99</f>
        <v>934722.15</v>
      </c>
      <c r="G9" s="18"/>
      <c r="H9" s="18"/>
      <c r="I9" s="18">
        <v>53458.37</v>
      </c>
      <c r="J9" s="67">
        <f>SUM(I440)</f>
        <v>62383.840000000004</v>
      </c>
      <c r="K9" s="24" t="s">
        <v>288</v>
      </c>
      <c r="L9" s="24" t="s">
        <v>288</v>
      </c>
      <c r="M9" s="8" t="s">
        <v>1643</v>
      </c>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t="s">
        <v>1643</v>
      </c>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t="s">
        <v>1643</v>
      </c>
      <c r="N11" s="266"/>
    </row>
    <row r="12" spans="1:14" s="3" customFormat="1" ht="12.2" customHeight="1" x14ac:dyDescent="0.15">
      <c r="A12" s="1" t="s">
        <v>564</v>
      </c>
      <c r="B12" s="2" t="s">
        <v>289</v>
      </c>
      <c r="C12" s="6">
        <v>4</v>
      </c>
      <c r="D12" s="2" t="s">
        <v>428</v>
      </c>
      <c r="E12" s="6">
        <v>130</v>
      </c>
      <c r="F12" s="18"/>
      <c r="G12" s="18">
        <v>-57542.68</v>
      </c>
      <c r="H12" s="18"/>
      <c r="I12" s="18"/>
      <c r="J12" s="67">
        <f>SUM(I442)</f>
        <v>0</v>
      </c>
      <c r="K12" s="24" t="s">
        <v>288</v>
      </c>
      <c r="L12" s="24" t="s">
        <v>288</v>
      </c>
      <c r="M12" s="8" t="s">
        <v>1643</v>
      </c>
      <c r="N12" s="266"/>
    </row>
    <row r="13" spans="1:14" s="3" customFormat="1" ht="12.2" customHeight="1" x14ac:dyDescent="0.15">
      <c r="A13" s="1" t="s">
        <v>604</v>
      </c>
      <c r="B13" s="2" t="s">
        <v>289</v>
      </c>
      <c r="C13" s="6">
        <v>5</v>
      </c>
      <c r="D13" s="2" t="s">
        <v>428</v>
      </c>
      <c r="E13" s="6">
        <v>140</v>
      </c>
      <c r="F13" s="18">
        <v>305921.15999999997</v>
      </c>
      <c r="G13" s="18">
        <f>-272.25+11098.06</f>
        <v>10825.81</v>
      </c>
      <c r="H13" s="18">
        <v>89617.42</v>
      </c>
      <c r="I13" s="18"/>
      <c r="J13" s="67">
        <f>SUM(I443)</f>
        <v>0</v>
      </c>
      <c r="K13" s="24" t="s">
        <v>288</v>
      </c>
      <c r="L13" s="24" t="s">
        <v>288</v>
      </c>
      <c r="M13" s="8" t="s">
        <v>1643</v>
      </c>
      <c r="N13" s="266"/>
    </row>
    <row r="14" spans="1:14" s="3" customFormat="1" ht="12.2" customHeight="1" x14ac:dyDescent="0.15">
      <c r="A14" s="1" t="s">
        <v>565</v>
      </c>
      <c r="B14" s="2" t="s">
        <v>289</v>
      </c>
      <c r="C14" s="6">
        <v>6</v>
      </c>
      <c r="D14" s="2" t="s">
        <v>428</v>
      </c>
      <c r="E14" s="6">
        <v>150</v>
      </c>
      <c r="F14" s="18">
        <v>-1568.61</v>
      </c>
      <c r="G14" s="18">
        <v>1198.67</v>
      </c>
      <c r="H14" s="18"/>
      <c r="I14" s="18"/>
      <c r="J14" s="67">
        <f>SUM(I444)</f>
        <v>0</v>
      </c>
      <c r="K14" s="24" t="s">
        <v>288</v>
      </c>
      <c r="L14" s="24" t="s">
        <v>288</v>
      </c>
      <c r="M14" s="8" t="s">
        <v>1643</v>
      </c>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t="s">
        <v>1643</v>
      </c>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t="s">
        <v>1643</v>
      </c>
      <c r="N16" s="266"/>
    </row>
    <row r="17" spans="1:14" s="3" customFormat="1" ht="12.2" customHeight="1" x14ac:dyDescent="0.15">
      <c r="A17" s="1" t="s">
        <v>567</v>
      </c>
      <c r="B17" s="2" t="s">
        <v>289</v>
      </c>
      <c r="C17" s="6">
        <v>9</v>
      </c>
      <c r="D17" s="2" t="s">
        <v>428</v>
      </c>
      <c r="E17" s="6">
        <v>180</v>
      </c>
      <c r="F17" s="18">
        <v>1377.52</v>
      </c>
      <c r="G17" s="18"/>
      <c r="H17" s="18"/>
      <c r="I17" s="18"/>
      <c r="J17" s="67">
        <f>SUM(I445)</f>
        <v>0</v>
      </c>
      <c r="K17" s="24" t="s">
        <v>288</v>
      </c>
      <c r="L17" s="24" t="s">
        <v>288</v>
      </c>
      <c r="M17" s="8" t="s">
        <v>1643</v>
      </c>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t="s">
        <v>1643</v>
      </c>
      <c r="N18" s="266"/>
    </row>
    <row r="19" spans="1:14" s="3" customFormat="1" ht="12.2" customHeight="1" thickTop="1" x14ac:dyDescent="0.15">
      <c r="A19" s="38" t="s">
        <v>404</v>
      </c>
      <c r="B19" s="39" t="s">
        <v>289</v>
      </c>
      <c r="C19" s="40">
        <v>11</v>
      </c>
      <c r="D19" s="39" t="s">
        <v>428</v>
      </c>
      <c r="E19" s="39"/>
      <c r="F19" s="41">
        <f>SUM(F9:F18)</f>
        <v>1240452.22</v>
      </c>
      <c r="G19" s="41">
        <f>SUM(G9:G18)</f>
        <v>-45518.200000000004</v>
      </c>
      <c r="H19" s="41">
        <f>SUM(H9:H18)</f>
        <v>89617.42</v>
      </c>
      <c r="I19" s="41">
        <f>SUM(I9:I18)</f>
        <v>53458.37</v>
      </c>
      <c r="J19" s="41">
        <f>SUM(J9:J18)</f>
        <v>62383.840000000004</v>
      </c>
      <c r="K19" s="45" t="s">
        <v>288</v>
      </c>
      <c r="L19" s="45" t="s">
        <v>288</v>
      </c>
      <c r="M19" s="8" t="s">
        <v>1643</v>
      </c>
      <c r="N19" s="266"/>
    </row>
    <row r="20" spans="1:14" s="3" customFormat="1" ht="12.2" customHeight="1" x14ac:dyDescent="0.15">
      <c r="A20" s="1" t="s">
        <v>454</v>
      </c>
      <c r="C20" s="159"/>
      <c r="F20" s="13"/>
      <c r="G20" s="13"/>
      <c r="H20" s="13"/>
      <c r="I20" s="13"/>
      <c r="J20" s="13"/>
      <c r="K20" s="13"/>
      <c r="L20" s="13"/>
      <c r="M20" s="8" t="s">
        <v>1643</v>
      </c>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t="s">
        <v>1643</v>
      </c>
      <c r="N21" s="266"/>
    </row>
    <row r="22" spans="1:14" s="3" customFormat="1" ht="12.2" customHeight="1" x14ac:dyDescent="0.15">
      <c r="A22" s="1" t="s">
        <v>569</v>
      </c>
      <c r="B22" s="2" t="s">
        <v>289</v>
      </c>
      <c r="C22" s="6">
        <v>12</v>
      </c>
      <c r="D22" s="2" t="s">
        <v>429</v>
      </c>
      <c r="E22" s="6">
        <v>400</v>
      </c>
      <c r="F22" s="18">
        <v>140286.81</v>
      </c>
      <c r="G22" s="18"/>
      <c r="H22" s="18">
        <v>25775.55</v>
      </c>
      <c r="I22" s="18">
        <v>39137.26</v>
      </c>
      <c r="J22" s="67">
        <f>SUM(I449)</f>
        <v>0</v>
      </c>
      <c r="K22" s="24" t="s">
        <v>288</v>
      </c>
      <c r="L22" s="24" t="s">
        <v>288</v>
      </c>
      <c r="M22" s="8" t="s">
        <v>1643</v>
      </c>
      <c r="N22" s="266"/>
    </row>
    <row r="23" spans="1:14" s="3" customFormat="1" ht="12.2" customHeight="1" x14ac:dyDescent="0.15">
      <c r="A23" s="1" t="s">
        <v>607</v>
      </c>
      <c r="B23" s="2" t="s">
        <v>289</v>
      </c>
      <c r="C23" s="6">
        <v>13</v>
      </c>
      <c r="D23" s="2" t="s">
        <v>429</v>
      </c>
      <c r="E23" s="6">
        <v>410</v>
      </c>
      <c r="F23" s="18">
        <v>562861.97</v>
      </c>
      <c r="G23" s="18"/>
      <c r="H23" s="18">
        <v>2383.94</v>
      </c>
      <c r="I23" s="18"/>
      <c r="J23" s="67">
        <f>SUM(I450)</f>
        <v>0</v>
      </c>
      <c r="K23" s="24" t="s">
        <v>288</v>
      </c>
      <c r="L23" s="24" t="s">
        <v>288</v>
      </c>
      <c r="M23" s="8" t="s">
        <v>1643</v>
      </c>
      <c r="N23" s="266"/>
    </row>
    <row r="24" spans="1:14" s="3" customFormat="1" ht="12.2" customHeight="1" x14ac:dyDescent="0.15">
      <c r="A24" s="1" t="s">
        <v>570</v>
      </c>
      <c r="B24" s="2" t="s">
        <v>289</v>
      </c>
      <c r="C24" s="6">
        <v>14</v>
      </c>
      <c r="D24" s="2" t="s">
        <v>429</v>
      </c>
      <c r="E24" s="6">
        <v>420</v>
      </c>
      <c r="F24" s="18">
        <v>90874.93</v>
      </c>
      <c r="G24" s="18"/>
      <c r="H24" s="18">
        <f>73802.45+1676.6+2015.98+167.66+97.28</f>
        <v>77759.97</v>
      </c>
      <c r="I24" s="18">
        <v>1682.25</v>
      </c>
      <c r="J24" s="67">
        <f>SUM(I451)</f>
        <v>0</v>
      </c>
      <c r="K24" s="24" t="s">
        <v>288</v>
      </c>
      <c r="L24" s="24" t="s">
        <v>288</v>
      </c>
      <c r="M24" s="8" t="s">
        <v>1643</v>
      </c>
      <c r="N24" s="266"/>
    </row>
    <row r="25" spans="1:14" s="3" customFormat="1" ht="12.2" customHeight="1" x14ac:dyDescent="0.15">
      <c r="A25" s="1" t="s">
        <v>574</v>
      </c>
      <c r="B25" s="2" t="s">
        <v>289</v>
      </c>
      <c r="C25" s="6">
        <v>15</v>
      </c>
      <c r="D25" s="2" t="s">
        <v>429</v>
      </c>
      <c r="E25" s="6">
        <v>430</v>
      </c>
      <c r="F25" s="18">
        <f>-71318.11+49257.71+22405.92+1902-948.86-1371.42+2806.69-783.15+97.18</f>
        <v>2047.9599999999966</v>
      </c>
      <c r="G25" s="145"/>
      <c r="H25" s="18"/>
      <c r="I25" s="18"/>
      <c r="J25" s="24" t="s">
        <v>288</v>
      </c>
      <c r="K25" s="24" t="s">
        <v>288</v>
      </c>
      <c r="L25" s="24" t="s">
        <v>288</v>
      </c>
      <c r="M25" s="8" t="s">
        <v>1643</v>
      </c>
      <c r="N25" s="266"/>
    </row>
    <row r="26" spans="1:14" s="3" customFormat="1" ht="12.2" customHeight="1" x14ac:dyDescent="0.15">
      <c r="A26" s="1" t="s">
        <v>571</v>
      </c>
      <c r="B26" s="2" t="s">
        <v>289</v>
      </c>
      <c r="C26" s="6">
        <v>16</v>
      </c>
      <c r="D26" s="2" t="s">
        <v>429</v>
      </c>
      <c r="E26" s="6">
        <v>440</v>
      </c>
      <c r="F26" s="18">
        <v>0</v>
      </c>
      <c r="G26" s="24" t="s">
        <v>288</v>
      </c>
      <c r="H26" s="24" t="s">
        <v>288</v>
      </c>
      <c r="I26" s="18"/>
      <c r="J26" s="24" t="s">
        <v>288</v>
      </c>
      <c r="K26" s="24" t="s">
        <v>288</v>
      </c>
      <c r="L26" s="24" t="s">
        <v>288</v>
      </c>
      <c r="M26" s="8" t="s">
        <v>1643</v>
      </c>
      <c r="N26" s="266"/>
    </row>
    <row r="27" spans="1:14" s="3" customFormat="1" ht="12.2" customHeight="1" x14ac:dyDescent="0.15">
      <c r="A27" s="1" t="s">
        <v>572</v>
      </c>
      <c r="B27" s="2" t="s">
        <v>289</v>
      </c>
      <c r="C27" s="6">
        <v>17</v>
      </c>
      <c r="D27" s="2" t="s">
        <v>429</v>
      </c>
      <c r="E27" s="6">
        <v>450</v>
      </c>
      <c r="F27" s="18">
        <v>0</v>
      </c>
      <c r="G27" s="24" t="s">
        <v>288</v>
      </c>
      <c r="H27" s="24" t="s">
        <v>288</v>
      </c>
      <c r="I27" s="18"/>
      <c r="J27" s="24" t="s">
        <v>288</v>
      </c>
      <c r="K27" s="24" t="s">
        <v>288</v>
      </c>
      <c r="L27" s="24" t="s">
        <v>288</v>
      </c>
      <c r="M27" s="8" t="s">
        <v>1643</v>
      </c>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t="s">
        <v>1643</v>
      </c>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t="s">
        <v>1643</v>
      </c>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t="s">
        <v>1643</v>
      </c>
      <c r="N30" s="266"/>
    </row>
    <row r="31" spans="1:14" s="3" customFormat="1" ht="12.2" customHeight="1" thickBot="1" x14ac:dyDescent="0.2">
      <c r="A31" s="1" t="s">
        <v>585</v>
      </c>
      <c r="B31" s="2" t="s">
        <v>289</v>
      </c>
      <c r="C31" s="6">
        <v>21</v>
      </c>
      <c r="D31" s="2" t="s">
        <v>429</v>
      </c>
      <c r="E31" s="6">
        <v>490</v>
      </c>
      <c r="F31" s="18">
        <v>1436.96</v>
      </c>
      <c r="G31" s="18"/>
      <c r="H31" s="18"/>
      <c r="I31" s="18"/>
      <c r="J31" s="67">
        <f>SUM(I452)</f>
        <v>0</v>
      </c>
      <c r="K31" s="24" t="s">
        <v>288</v>
      </c>
      <c r="L31" s="24" t="s">
        <v>288</v>
      </c>
      <c r="M31" s="8" t="s">
        <v>1643</v>
      </c>
      <c r="N31" s="266"/>
    </row>
    <row r="32" spans="1:14" s="3" customFormat="1" ht="12.2" customHeight="1" thickTop="1" x14ac:dyDescent="0.15">
      <c r="A32" s="38" t="s">
        <v>406</v>
      </c>
      <c r="B32" s="39" t="s">
        <v>289</v>
      </c>
      <c r="C32" s="40">
        <v>22</v>
      </c>
      <c r="D32" s="39" t="s">
        <v>429</v>
      </c>
      <c r="E32" s="39"/>
      <c r="F32" s="41">
        <f>SUM(F22:F31)</f>
        <v>797508.62999999989</v>
      </c>
      <c r="G32" s="41">
        <f>SUM(G22:G31)</f>
        <v>0</v>
      </c>
      <c r="H32" s="41">
        <f>SUM(H22:H31)</f>
        <v>105919.45999999999</v>
      </c>
      <c r="I32" s="41">
        <f>SUM(I22:I31)</f>
        <v>40819.51</v>
      </c>
      <c r="J32" s="41">
        <f>SUM(J22:J31)</f>
        <v>0</v>
      </c>
      <c r="K32" s="45" t="s">
        <v>288</v>
      </c>
      <c r="L32" s="45" t="s">
        <v>288</v>
      </c>
      <c r="M32" s="8" t="s">
        <v>1643</v>
      </c>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t="s">
        <v>1643</v>
      </c>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t="s">
        <v>1643</v>
      </c>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t="s">
        <v>1643</v>
      </c>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t="s">
        <v>1643</v>
      </c>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t="s">
        <v>1643</v>
      </c>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t="s">
        <v>1643</v>
      </c>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t="s">
        <v>1643</v>
      </c>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t="s">
        <v>1643</v>
      </c>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t="s">
        <v>1643</v>
      </c>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t="s">
        <v>1643</v>
      </c>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t="s">
        <v>1643</v>
      </c>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t="s">
        <v>1643</v>
      </c>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t="s">
        <v>1643</v>
      </c>
      <c r="N45" s="266"/>
    </row>
    <row r="46" spans="1:14" s="3" customFormat="1" ht="12.2" customHeight="1" x14ac:dyDescent="0.15">
      <c r="A46" s="1" t="s">
        <v>874</v>
      </c>
      <c r="B46" s="6">
        <v>1</v>
      </c>
      <c r="C46" s="6">
        <v>32</v>
      </c>
      <c r="D46" s="2"/>
      <c r="E46" s="6"/>
      <c r="F46" s="18">
        <v>42944</v>
      </c>
      <c r="G46" s="24" t="s">
        <v>288</v>
      </c>
      <c r="H46" s="24" t="s">
        <v>288</v>
      </c>
      <c r="I46" s="24" t="s">
        <v>288</v>
      </c>
      <c r="J46" s="24" t="s">
        <v>288</v>
      </c>
      <c r="K46" s="24"/>
      <c r="L46" s="24"/>
      <c r="M46" s="8" t="s">
        <v>1643</v>
      </c>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t="s">
        <v>1643</v>
      </c>
      <c r="N47" s="266"/>
    </row>
    <row r="48" spans="1:14" s="3" customFormat="1" ht="12.2" customHeight="1" x14ac:dyDescent="0.15">
      <c r="A48" s="1" t="s">
        <v>839</v>
      </c>
      <c r="B48" s="2" t="s">
        <v>289</v>
      </c>
      <c r="C48" s="6">
        <v>33</v>
      </c>
      <c r="D48" s="2" t="s">
        <v>653</v>
      </c>
      <c r="E48" s="6">
        <v>760</v>
      </c>
      <c r="F48" s="18"/>
      <c r="G48" s="18">
        <v>-45518.2</v>
      </c>
      <c r="H48" s="18">
        <v>-16302.04</v>
      </c>
      <c r="I48" s="18">
        <v>12638.86</v>
      </c>
      <c r="J48" s="13">
        <f>SUM(I460)</f>
        <v>62383.840000000004</v>
      </c>
      <c r="K48" s="24" t="s">
        <v>288</v>
      </c>
      <c r="L48" s="24" t="s">
        <v>288</v>
      </c>
      <c r="M48" s="8" t="s">
        <v>1643</v>
      </c>
      <c r="N48" s="266"/>
    </row>
    <row r="49" spans="1:14" s="3" customFormat="1" ht="12.2" customHeight="1" x14ac:dyDescent="0.15">
      <c r="A49" s="1" t="s">
        <v>859</v>
      </c>
      <c r="B49" s="2" t="s">
        <v>289</v>
      </c>
      <c r="C49" s="6">
        <v>34</v>
      </c>
      <c r="D49" s="2"/>
      <c r="E49" s="6">
        <v>753</v>
      </c>
      <c r="F49" s="18"/>
      <c r="G49" s="18"/>
      <c r="H49" s="18"/>
      <c r="I49" s="18"/>
      <c r="J49" s="13">
        <f>I455</f>
        <v>0</v>
      </c>
      <c r="K49" s="24"/>
      <c r="L49" s="24"/>
      <c r="M49" s="8" t="s">
        <v>1643</v>
      </c>
      <c r="N49" s="266"/>
    </row>
    <row r="50" spans="1:14" s="3" customFormat="1" ht="12.2" customHeight="1" thickBot="1" x14ac:dyDescent="0.2">
      <c r="A50" s="29" t="s">
        <v>840</v>
      </c>
      <c r="B50" s="2" t="s">
        <v>289</v>
      </c>
      <c r="C50" s="71">
        <v>35</v>
      </c>
      <c r="D50" s="2" t="s">
        <v>653</v>
      </c>
      <c r="E50" s="6">
        <v>770</v>
      </c>
      <c r="F50" s="18">
        <f>442943.59-42944</f>
        <v>399999.59</v>
      </c>
      <c r="G50" s="24" t="s">
        <v>288</v>
      </c>
      <c r="H50" s="24" t="s">
        <v>288</v>
      </c>
      <c r="I50" s="24" t="s">
        <v>288</v>
      </c>
      <c r="J50" s="24" t="s">
        <v>288</v>
      </c>
      <c r="K50" s="24" t="s">
        <v>288</v>
      </c>
      <c r="L50" s="24" t="s">
        <v>288</v>
      </c>
      <c r="M50" s="8" t="s">
        <v>1643</v>
      </c>
      <c r="N50" s="266"/>
    </row>
    <row r="51" spans="1:14" ht="12.2" customHeight="1" thickTop="1" thickBot="1" x14ac:dyDescent="0.25">
      <c r="A51" s="38" t="s">
        <v>407</v>
      </c>
      <c r="B51" s="39" t="s">
        <v>289</v>
      </c>
      <c r="C51" s="51">
        <v>36</v>
      </c>
      <c r="D51" s="39" t="s">
        <v>653</v>
      </c>
      <c r="E51" s="39"/>
      <c r="F51" s="41">
        <f>SUM(F35:F50)</f>
        <v>442943.59</v>
      </c>
      <c r="G51" s="41">
        <f>SUM(G35:G50)</f>
        <v>-45518.2</v>
      </c>
      <c r="H51" s="41">
        <f>SUM(H35:H50)</f>
        <v>-16302.04</v>
      </c>
      <c r="I51" s="41">
        <f>SUM(I35:I50)</f>
        <v>12638.86</v>
      </c>
      <c r="J51" s="41">
        <f>SUM(J35:J50)</f>
        <v>62383.840000000004</v>
      </c>
      <c r="K51" s="45" t="s">
        <v>288</v>
      </c>
      <c r="L51" s="45" t="s">
        <v>288</v>
      </c>
      <c r="N51" s="264"/>
    </row>
    <row r="52" spans="1:14" s="3" customFormat="1" ht="12.2" customHeight="1" thickTop="1" x14ac:dyDescent="0.15">
      <c r="A52" s="38" t="s">
        <v>455</v>
      </c>
      <c r="B52" s="39" t="s">
        <v>289</v>
      </c>
      <c r="C52" s="6">
        <v>37</v>
      </c>
      <c r="D52" s="39" t="s">
        <v>653</v>
      </c>
      <c r="E52" s="39"/>
      <c r="F52" s="41">
        <f>F51+F32</f>
        <v>1240452.22</v>
      </c>
      <c r="G52" s="41">
        <f>G51+G32</f>
        <v>-45518.2</v>
      </c>
      <c r="H52" s="41">
        <f>H51+H32</f>
        <v>89617.419999999984</v>
      </c>
      <c r="I52" s="41">
        <f>I51+I32</f>
        <v>53458.37</v>
      </c>
      <c r="J52" s="41">
        <f>J51+J32</f>
        <v>62383.840000000004</v>
      </c>
      <c r="K52" s="45" t="s">
        <v>288</v>
      </c>
      <c r="L52" s="45" t="s">
        <v>288</v>
      </c>
      <c r="M52" s="8" t="s">
        <v>1643</v>
      </c>
      <c r="N52" s="266"/>
    </row>
    <row r="53" spans="1:14" s="3" customFormat="1" ht="12.2" customHeight="1" x14ac:dyDescent="0.2">
      <c r="A53"/>
      <c r="B53"/>
      <c r="C53"/>
      <c r="D53"/>
      <c r="E53"/>
      <c r="F53" s="23" t="s">
        <v>273</v>
      </c>
      <c r="G53" s="23" t="s">
        <v>274</v>
      </c>
      <c r="H53" s="23" t="s">
        <v>275</v>
      </c>
      <c r="I53" s="23" t="s">
        <v>276</v>
      </c>
      <c r="J53" s="23" t="s">
        <v>277</v>
      </c>
      <c r="K53" s="20"/>
      <c r="L53" s="20"/>
      <c r="M53" s="8" t="s">
        <v>1643</v>
      </c>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2013300</v>
      </c>
      <c r="G57" s="18"/>
      <c r="H57" s="18"/>
      <c r="I57" s="18"/>
      <c r="J57" s="18">
        <v>0</v>
      </c>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2013300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44954.5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44954.5</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4482.84</v>
      </c>
      <c r="G96" s="18"/>
      <c r="H96" s="18"/>
      <c r="I96" s="18"/>
      <c r="J96" s="18">
        <f>79.94+59.86+17.93+17.45+14.91+626.56</f>
        <v>816.65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3699.63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5.01</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57.09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4544.9400000000005</v>
      </c>
      <c r="G111" s="41">
        <f>SUM(G96:G110)</f>
        <v>3699.63</v>
      </c>
      <c r="H111" s="41">
        <f>SUM(H96:H110)</f>
        <v>0</v>
      </c>
      <c r="I111" s="41">
        <f>SUM(I96:I110)</f>
        <v>0</v>
      </c>
      <c r="J111" s="41">
        <f>SUM(J96:J110)</f>
        <v>816.65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2062799.44</v>
      </c>
      <c r="G112" s="41">
        <f>G60+G111</f>
        <v>3699.63</v>
      </c>
      <c r="H112" s="41">
        <f>H60+H79+H94+H111</f>
        <v>0</v>
      </c>
      <c r="I112" s="41">
        <f>I60+I111</f>
        <v>0</v>
      </c>
      <c r="J112" s="41">
        <f>J60+J111</f>
        <v>816.65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890140.81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250832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1140972.81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152006.96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56369.34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18.809999999999999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208376.3</v>
      </c>
      <c r="G136" s="41">
        <f>SUM(G123:G135)</f>
        <v>18.809999999999999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1349349.11</v>
      </c>
      <c r="G140" s="41">
        <f>G121+SUM(G136:G137)</f>
        <v>18.809999999999999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32277.39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67700.91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2833.2+918.51+2540.83</f>
        <v>6292.54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10183.450000000001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10183.450000000001</v>
      </c>
      <c r="G163" s="41">
        <f>SUM(G150:G162)</f>
        <v>6292.54</v>
      </c>
      <c r="H163" s="41">
        <f>SUM(H150:H162)</f>
        <v>99978.3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10183.450000000001</v>
      </c>
      <c r="G170" s="41">
        <f>G147+G163+SUM(G164:G169)</f>
        <v>6292.54</v>
      </c>
      <c r="H170" s="41">
        <f>H147+H163+SUM(H164:H169)</f>
        <v>99978.3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10602.22</v>
      </c>
      <c r="H180" s="18">
        <v>0</v>
      </c>
      <c r="I180" s="18"/>
      <c r="J180" s="18">
        <v>20000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10602.22</v>
      </c>
      <c r="H184" s="41">
        <f>SUM(H180:H183)</f>
        <v>0</v>
      </c>
      <c r="I184" s="41">
        <f>SUM(I180:I183)</f>
        <v>0</v>
      </c>
      <c r="J184" s="41">
        <f>SUM(J180:J183)</f>
        <v>20000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t="s">
        <v>1643</v>
      </c>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10602.22</v>
      </c>
      <c r="H193" s="41">
        <f>+H184+SUM(H189:H192)</f>
        <v>0</v>
      </c>
      <c r="I193" s="41">
        <f>I178+I184+SUM(I189:I192)</f>
        <v>0</v>
      </c>
      <c r="J193" s="41">
        <f>J184</f>
        <v>20000</v>
      </c>
      <c r="K193" s="45" t="s">
        <v>288</v>
      </c>
      <c r="L193" s="45" t="s">
        <v>288</v>
      </c>
      <c r="M193" s="8" t="s">
        <v>1643</v>
      </c>
      <c r="N193" s="266"/>
    </row>
    <row r="194" spans="1:14" s="3" customFormat="1" ht="12.2" customHeight="1" thickTop="1" x14ac:dyDescent="0.2">
      <c r="A194" s="46" t="s">
        <v>457</v>
      </c>
      <c r="B194" s="39" t="s">
        <v>330</v>
      </c>
      <c r="C194" s="40">
        <v>19</v>
      </c>
      <c r="D194" s="157" t="s">
        <v>430</v>
      </c>
      <c r="E194" s="44"/>
      <c r="F194" s="47">
        <f>F112+F140+F170+F193</f>
        <v>3422332</v>
      </c>
      <c r="G194" s="47">
        <f>G112+G140+G170+G193</f>
        <v>20613.199999999997</v>
      </c>
      <c r="H194" s="47">
        <f>H112+H140+H170+H193</f>
        <v>99978.3</v>
      </c>
      <c r="I194" s="47">
        <f>I112+I140+I170+I193</f>
        <v>0</v>
      </c>
      <c r="J194" s="47">
        <f>J112+J140+J193</f>
        <v>20816.650000000001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462375.76-1680</f>
        <v>460695.76</v>
      </c>
      <c r="G198" s="18">
        <v>241767.18</v>
      </c>
      <c r="H198" s="18">
        <f>670753.78-664406+840</f>
        <v>7187.7800000000279</v>
      </c>
      <c r="I198" s="18">
        <v>33944.359999999993</v>
      </c>
      <c r="J198" s="18">
        <v>5469.1399999999994</v>
      </c>
      <c r="K198" s="18">
        <v>0</v>
      </c>
      <c r="L198" s="19">
        <f>SUM(F198:K198)</f>
        <v>749064.22</v>
      </c>
      <c r="M198" s="8"/>
      <c r="N198" s="266"/>
    </row>
    <row r="199" spans="1:14" s="3" customFormat="1" ht="12.2" customHeight="1" x14ac:dyDescent="0.15">
      <c r="A199" s="1" t="s">
        <v>439</v>
      </c>
      <c r="B199" s="2" t="s">
        <v>341</v>
      </c>
      <c r="C199" s="2" t="s">
        <v>291</v>
      </c>
      <c r="D199" s="2" t="s">
        <v>431</v>
      </c>
      <c r="E199" s="6">
        <v>1200</v>
      </c>
      <c r="F199" s="18">
        <v>107684.31</v>
      </c>
      <c r="G199" s="18">
        <v>49565.180000000008</v>
      </c>
      <c r="H199" s="18">
        <f>95219.24-89176.29</f>
        <v>6042.9500000000116</v>
      </c>
      <c r="I199" s="18">
        <v>0</v>
      </c>
      <c r="J199" s="18">
        <v>339.98</v>
      </c>
      <c r="K199" s="18">
        <v>0</v>
      </c>
      <c r="L199" s="19">
        <f>SUM(F199:K199)</f>
        <v>163632.42000000001</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2150</v>
      </c>
      <c r="G201" s="18">
        <v>349.57</v>
      </c>
      <c r="H201" s="18">
        <v>0</v>
      </c>
      <c r="I201" s="18">
        <v>0</v>
      </c>
      <c r="J201" s="18">
        <v>0</v>
      </c>
      <c r="K201" s="18">
        <v>0</v>
      </c>
      <c r="L201" s="19">
        <f>SUM(F201:K201)</f>
        <v>2499.5700000000002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29028.3</v>
      </c>
      <c r="G203" s="18">
        <v>2278.7300000000005</v>
      </c>
      <c r="H203" s="18">
        <v>0</v>
      </c>
      <c r="I203" s="18">
        <v>92.77</v>
      </c>
      <c r="J203" s="18">
        <v>0</v>
      </c>
      <c r="K203" s="18">
        <v>0</v>
      </c>
      <c r="L203" s="19">
        <f t="shared" ref="L203:L209" si="0">SUM(F203:K203)</f>
        <v>31399.8</v>
      </c>
      <c r="M203" s="8"/>
      <c r="N203" s="266"/>
    </row>
    <row r="204" spans="1:14" s="3" customFormat="1" ht="12.2" customHeight="1" x14ac:dyDescent="0.15">
      <c r="A204" s="1" t="s">
        <v>443</v>
      </c>
      <c r="B204" s="2" t="s">
        <v>341</v>
      </c>
      <c r="C204" s="2" t="s">
        <v>295</v>
      </c>
      <c r="D204" s="2" t="s">
        <v>431</v>
      </c>
      <c r="E204" s="6">
        <v>2200</v>
      </c>
      <c r="F204" s="18">
        <v>31698.5</v>
      </c>
      <c r="G204" s="18">
        <v>11391.609999999999</v>
      </c>
      <c r="H204" s="18">
        <v>28939.899999999998</v>
      </c>
      <c r="I204" s="18">
        <v>2980.6099999999997</v>
      </c>
      <c r="J204" s="18">
        <v>26757.66</v>
      </c>
      <c r="K204" s="18">
        <v>0</v>
      </c>
      <c r="L204" s="19">
        <f t="shared" si="0"/>
        <v>101768.28</v>
      </c>
      <c r="M204" s="8"/>
      <c r="N204" s="266"/>
    </row>
    <row r="205" spans="1:14" s="3" customFormat="1" ht="12.2" customHeight="1" x14ac:dyDescent="0.15">
      <c r="A205" s="1" t="s">
        <v>444</v>
      </c>
      <c r="B205" s="2" t="s">
        <v>341</v>
      </c>
      <c r="C205" s="2" t="s">
        <v>296</v>
      </c>
      <c r="D205" s="2" t="s">
        <v>431</v>
      </c>
      <c r="E205" s="6">
        <v>2300</v>
      </c>
      <c r="F205" s="18">
        <v>3700</v>
      </c>
      <c r="G205" s="18">
        <v>339.91</v>
      </c>
      <c r="H205" s="18">
        <v>178293.94</v>
      </c>
      <c r="I205" s="18">
        <v>3423.92</v>
      </c>
      <c r="J205" s="18">
        <v>0</v>
      </c>
      <c r="K205" s="18">
        <v>0</v>
      </c>
      <c r="L205" s="19">
        <f t="shared" si="0"/>
        <v>185757.77000000002</v>
      </c>
      <c r="M205" s="8"/>
      <c r="N205" s="266"/>
    </row>
    <row r="206" spans="1:14" s="3" customFormat="1" ht="12.2" customHeight="1" x14ac:dyDescent="0.15">
      <c r="A206" s="1" t="s">
        <v>445</v>
      </c>
      <c r="B206" s="2" t="s">
        <v>341</v>
      </c>
      <c r="C206" s="2" t="s">
        <v>297</v>
      </c>
      <c r="D206" s="2" t="s">
        <v>431</v>
      </c>
      <c r="E206" s="6">
        <v>2400</v>
      </c>
      <c r="F206" s="18">
        <v>118232.62000000001</v>
      </c>
      <c r="G206" s="18">
        <v>58687.330000000009</v>
      </c>
      <c r="H206" s="18">
        <v>3290.84</v>
      </c>
      <c r="I206" s="18">
        <v>1586.48</v>
      </c>
      <c r="J206" s="18">
        <v>0</v>
      </c>
      <c r="K206" s="18">
        <v>42883.189999999995</v>
      </c>
      <c r="L206" s="19">
        <f t="shared" si="0"/>
        <v>224680.46000000002</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29254.52</v>
      </c>
      <c r="G208" s="18">
        <v>15262.25</v>
      </c>
      <c r="H208" s="18">
        <v>77356.48000000001</v>
      </c>
      <c r="I208" s="18">
        <v>43230.17</v>
      </c>
      <c r="J208" s="18">
        <v>0</v>
      </c>
      <c r="K208" s="18">
        <v>0</v>
      </c>
      <c r="L208" s="19">
        <f t="shared" si="0"/>
        <v>165103.42000000001</v>
      </c>
      <c r="M208" s="8"/>
      <c r="N208" s="266"/>
    </row>
    <row r="209" spans="1:14" s="3" customFormat="1" ht="12.2" customHeight="1" x14ac:dyDescent="0.15">
      <c r="A209" s="1" t="s">
        <v>448</v>
      </c>
      <c r="B209" s="2" t="s">
        <v>341</v>
      </c>
      <c r="C209" s="2" t="s">
        <v>300</v>
      </c>
      <c r="D209" s="2" t="s">
        <v>431</v>
      </c>
      <c r="E209" s="6">
        <v>2700</v>
      </c>
      <c r="F209" s="18">
        <v>30981.68</v>
      </c>
      <c r="G209" s="18">
        <v>2472.86</v>
      </c>
      <c r="H209" s="18">
        <f>17996.98</f>
        <v>17996.98</v>
      </c>
      <c r="I209" s="18">
        <v>3936.42</v>
      </c>
      <c r="J209" s="18">
        <v>30013.9</v>
      </c>
      <c r="K209" s="18">
        <v>0</v>
      </c>
      <c r="L209" s="19">
        <f t="shared" si="0"/>
        <v>85401.84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813425.69000000018</v>
      </c>
      <c r="G212" s="41">
        <f t="shared" si="1"/>
        <v>382114.61999999994</v>
      </c>
      <c r="H212" s="41">
        <f t="shared" si="1"/>
        <v>319108.87</v>
      </c>
      <c r="I212" s="41">
        <f t="shared" si="1"/>
        <v>89194.73</v>
      </c>
      <c r="J212" s="41">
        <f t="shared" si="1"/>
        <v>62580.68</v>
      </c>
      <c r="K212" s="41">
        <f t="shared" si="1"/>
        <v>42883.189999999995</v>
      </c>
      <c r="L212" s="41">
        <f t="shared" si="1"/>
        <v>1709307.78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665246</v>
      </c>
      <c r="I234" s="18"/>
      <c r="J234" s="18"/>
      <c r="K234" s="18"/>
      <c r="L234" s="19">
        <f>SUM(F234:K234)</f>
        <v>665246</v>
      </c>
      <c r="M234" s="8"/>
      <c r="N234" s="266"/>
    </row>
    <row r="235" spans="1:14" s="3" customFormat="1" ht="12.2" customHeight="1" x14ac:dyDescent="0.15">
      <c r="A235" s="1" t="s">
        <v>439</v>
      </c>
      <c r="B235" s="2" t="s">
        <v>350</v>
      </c>
      <c r="C235" s="2" t="s">
        <v>291</v>
      </c>
      <c r="D235" s="2" t="s">
        <v>431</v>
      </c>
      <c r="E235" s="6">
        <v>1200</v>
      </c>
      <c r="F235" s="18"/>
      <c r="G235" s="18"/>
      <c r="H235" s="18">
        <f>2109+14726.22+3120.1+45960</f>
        <v>65915.320000000007</v>
      </c>
      <c r="I235" s="18"/>
      <c r="J235" s="18"/>
      <c r="K235" s="18"/>
      <c r="L235" s="19">
        <f>SUM(F235:K235)</f>
        <v>65915.320000000007</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23260.97</v>
      </c>
      <c r="I245" s="18"/>
      <c r="J245" s="18"/>
      <c r="K245" s="18"/>
      <c r="L245" s="19">
        <f t="shared" si="4"/>
        <v>23260.97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754422.29</v>
      </c>
      <c r="I248" s="41">
        <f t="shared" si="5"/>
        <v>0</v>
      </c>
      <c r="J248" s="41">
        <f t="shared" si="5"/>
        <v>0</v>
      </c>
      <c r="K248" s="41">
        <f t="shared" si="5"/>
        <v>0</v>
      </c>
      <c r="L248" s="41">
        <f t="shared" si="5"/>
        <v>754422.29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813425.69000000018</v>
      </c>
      <c r="G258" s="41">
        <f t="shared" si="8"/>
        <v>382114.61999999994</v>
      </c>
      <c r="H258" s="41">
        <f t="shared" si="8"/>
        <v>1073531.1600000001</v>
      </c>
      <c r="I258" s="41">
        <f t="shared" si="8"/>
        <v>89194.73</v>
      </c>
      <c r="J258" s="41">
        <f t="shared" si="8"/>
        <v>62580.68</v>
      </c>
      <c r="K258" s="41">
        <f t="shared" si="8"/>
        <v>42883.189999999995</v>
      </c>
      <c r="L258" s="41">
        <f t="shared" si="8"/>
        <v>2463730.0700000003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395971.53</v>
      </c>
      <c r="L261" s="19">
        <f>SUM(F261:K261)</f>
        <v>395971.53</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186043.69</v>
      </c>
      <c r="L262" s="19">
        <f>SUM(F262:K262)</f>
        <v>186043.69</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10602.22</v>
      </c>
      <c r="L264" s="19">
        <f>SUM(F264:K264)</f>
        <v>10602.22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612617.43999999994</v>
      </c>
      <c r="L271" s="41">
        <f t="shared" si="9"/>
        <v>612617.43999999994</v>
      </c>
      <c r="M271" s="8"/>
      <c r="N271" s="266"/>
    </row>
    <row r="272" spans="1:14" s="34" customFormat="1" ht="12.2" customHeight="1" thickTop="1" x14ac:dyDescent="0.2">
      <c r="A272" s="43" t="s">
        <v>464</v>
      </c>
      <c r="B272" s="40">
        <v>10</v>
      </c>
      <c r="C272" s="40">
        <v>18</v>
      </c>
      <c r="D272" s="39" t="s">
        <v>431</v>
      </c>
      <c r="E272" s="40"/>
      <c r="F272" s="42">
        <f t="shared" ref="F272:L272" si="11">F258+F271</f>
        <v>813425.69000000018</v>
      </c>
      <c r="G272" s="42">
        <f t="shared" si="11"/>
        <v>382114.61999999994</v>
      </c>
      <c r="H272" s="42">
        <f t="shared" si="11"/>
        <v>1073531.1600000001</v>
      </c>
      <c r="I272" s="42">
        <f t="shared" si="11"/>
        <v>89194.73</v>
      </c>
      <c r="J272" s="42">
        <f t="shared" si="11"/>
        <v>62580.68</v>
      </c>
      <c r="K272" s="42">
        <f t="shared" si="11"/>
        <v>655500.62999999989</v>
      </c>
      <c r="L272" s="42">
        <f t="shared" si="11"/>
        <v>3076347.5100000002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26821.15</v>
      </c>
      <c r="G277" s="18">
        <v>5233.1100000000006</v>
      </c>
      <c r="H277" s="18">
        <v>0</v>
      </c>
      <c r="I277" s="18">
        <v>0</v>
      </c>
      <c r="J277" s="18">
        <v>0</v>
      </c>
      <c r="K277" s="18">
        <v>0</v>
      </c>
      <c r="L277" s="19">
        <f>SUM(F277:K277)</f>
        <v>32054.260000000002</v>
      </c>
      <c r="M277" s="8"/>
      <c r="N277" s="266"/>
    </row>
    <row r="278" spans="1:14" s="3" customFormat="1" ht="12.2" customHeight="1" x14ac:dyDescent="0.15">
      <c r="A278" s="1" t="s">
        <v>439</v>
      </c>
      <c r="B278" s="2" t="s">
        <v>357</v>
      </c>
      <c r="C278" s="2" t="s">
        <v>291</v>
      </c>
      <c r="D278" s="2" t="s">
        <v>431</v>
      </c>
      <c r="E278" s="6">
        <v>1200</v>
      </c>
      <c r="F278" s="18">
        <v>26213.06</v>
      </c>
      <c r="G278" s="18">
        <v>16043.369999999997</v>
      </c>
      <c r="H278" s="18">
        <v>0</v>
      </c>
      <c r="I278" s="18">
        <v>0</v>
      </c>
      <c r="J278" s="18">
        <v>1070.18</v>
      </c>
      <c r="K278" s="18">
        <v>0</v>
      </c>
      <c r="L278" s="19">
        <f>SUM(F278:K278)</f>
        <v>43326.61</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1831.25</v>
      </c>
      <c r="G280" s="18">
        <v>368.46</v>
      </c>
      <c r="H280" s="18">
        <v>0</v>
      </c>
      <c r="I280" s="18">
        <v>0</v>
      </c>
      <c r="J280" s="18">
        <v>0</v>
      </c>
      <c r="K280" s="18">
        <v>0</v>
      </c>
      <c r="L280" s="19">
        <f>SUM(F280:K280)</f>
        <v>2199.71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2000</v>
      </c>
      <c r="G283" s="18">
        <v>213.62</v>
      </c>
      <c r="H283" s="18">
        <v>15952.18</v>
      </c>
      <c r="I283" s="18">
        <v>0</v>
      </c>
      <c r="J283" s="18">
        <v>0</v>
      </c>
      <c r="K283" s="18">
        <v>0</v>
      </c>
      <c r="L283" s="19">
        <f t="shared" si="12"/>
        <v>18165.8</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2942.94</v>
      </c>
      <c r="L286" s="19">
        <f t="shared" si="12"/>
        <v>2942.94</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56865.460000000006</v>
      </c>
      <c r="G291" s="42">
        <f t="shared" si="13"/>
        <v>21858.559999999994</v>
      </c>
      <c r="H291" s="42">
        <f t="shared" si="13"/>
        <v>15952.18</v>
      </c>
      <c r="I291" s="42">
        <f t="shared" si="13"/>
        <v>0</v>
      </c>
      <c r="J291" s="42">
        <f t="shared" si="13"/>
        <v>1070.18</v>
      </c>
      <c r="K291" s="42">
        <f t="shared" si="13"/>
        <v>2942.94</v>
      </c>
      <c r="L291" s="41">
        <f t="shared" si="13"/>
        <v>98689.32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56865.460000000006</v>
      </c>
      <c r="G339" s="41">
        <f t="shared" si="20"/>
        <v>21858.559999999994</v>
      </c>
      <c r="H339" s="41">
        <f t="shared" si="20"/>
        <v>15952.18</v>
      </c>
      <c r="I339" s="41">
        <f t="shared" si="20"/>
        <v>0</v>
      </c>
      <c r="J339" s="41">
        <f t="shared" si="20"/>
        <v>1070.18</v>
      </c>
      <c r="K339" s="41">
        <f t="shared" si="20"/>
        <v>2942.94</v>
      </c>
      <c r="L339" s="41">
        <f t="shared" si="20"/>
        <v>98689.32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56865.460000000006</v>
      </c>
      <c r="G353" s="41">
        <f>G339</f>
        <v>21858.559999999994</v>
      </c>
      <c r="H353" s="41">
        <f>H339</f>
        <v>15952.18</v>
      </c>
      <c r="I353" s="41">
        <f>I339</f>
        <v>0</v>
      </c>
      <c r="J353" s="41">
        <f>J339</f>
        <v>1070.18</v>
      </c>
      <c r="K353" s="47">
        <f>K339+K352</f>
        <v>2942.94</v>
      </c>
      <c r="L353" s="41">
        <f>L339+L352</f>
        <v>98689.32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54271.46</v>
      </c>
      <c r="I359" s="18"/>
      <c r="J359" s="18"/>
      <c r="K359" s="18"/>
      <c r="L359" s="13">
        <f>SUM(F359:K359)</f>
        <v>54271.46</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54271.46</v>
      </c>
      <c r="I363" s="47">
        <f t="shared" si="22"/>
        <v>0</v>
      </c>
      <c r="J363" s="47">
        <f t="shared" si="22"/>
        <v>0</v>
      </c>
      <c r="K363" s="47">
        <f t="shared" si="22"/>
        <v>0</v>
      </c>
      <c r="L363" s="47">
        <f t="shared" si="22"/>
        <v>54271.46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v>0</v>
      </c>
      <c r="G390" s="18">
        <v>5000</v>
      </c>
      <c r="H390" s="18"/>
      <c r="I390" s="18">
        <v>0</v>
      </c>
      <c r="J390" s="24" t="s">
        <v>288</v>
      </c>
      <c r="K390" s="24" t="s">
        <v>288</v>
      </c>
      <c r="L390" s="56">
        <f t="shared" si="25"/>
        <v>5000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v>658.92</v>
      </c>
      <c r="I393" s="18"/>
      <c r="J393" s="24" t="s">
        <v>288</v>
      </c>
      <c r="K393" s="24" t="s">
        <v>288</v>
      </c>
      <c r="L393" s="56">
        <f t="shared" si="25"/>
        <v>658.92</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658.92</v>
      </c>
      <c r="I394" s="65">
        <f>SUM(I388:I393)</f>
        <v>0</v>
      </c>
      <c r="J394" s="45" t="s">
        <v>288</v>
      </c>
      <c r="K394" s="45" t="s">
        <v>288</v>
      </c>
      <c r="L394" s="47">
        <f>SUM(L388:L393)</f>
        <v>5658.92</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v>0</v>
      </c>
      <c r="G399" s="18">
        <v>15000</v>
      </c>
      <c r="H399" s="18"/>
      <c r="I399" s="18">
        <v>0</v>
      </c>
      <c r="J399" s="24" t="s">
        <v>288</v>
      </c>
      <c r="K399" s="24" t="s">
        <v>288</v>
      </c>
      <c r="L399" s="56">
        <f t="shared" si="26"/>
        <v>15000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77.680000000000007</v>
      </c>
      <c r="I401" s="18"/>
      <c r="J401" s="24" t="s">
        <v>288</v>
      </c>
      <c r="K401" s="24" t="s">
        <v>288</v>
      </c>
      <c r="L401" s="56">
        <f t="shared" si="26"/>
        <v>77.680000000000007</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15000</v>
      </c>
      <c r="H402" s="47">
        <f>SUM(H396:H401)</f>
        <v>77.680000000000007</v>
      </c>
      <c r="I402" s="47">
        <f>SUM(I396:I401)</f>
        <v>0</v>
      </c>
      <c r="J402" s="45" t="s">
        <v>288</v>
      </c>
      <c r="K402" s="45" t="s">
        <v>288</v>
      </c>
      <c r="L402" s="47">
        <f>SUM(L396:L401)</f>
        <v>15077.68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v>80.05</v>
      </c>
      <c r="I404" s="18"/>
      <c r="J404" s="24" t="s">
        <v>288</v>
      </c>
      <c r="K404" s="24" t="s">
        <v>288</v>
      </c>
      <c r="L404" s="56">
        <f>SUM(F404:K404)</f>
        <v>80.05</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80.05</v>
      </c>
      <c r="I408" s="47">
        <f>SUM(I404:I407)</f>
        <v>0</v>
      </c>
      <c r="J408" s="49" t="s">
        <v>288</v>
      </c>
      <c r="K408" s="49" t="s">
        <v>288</v>
      </c>
      <c r="L408" s="47">
        <f>SUM(L404:L407)</f>
        <v>80.05</v>
      </c>
      <c r="M408" s="8"/>
      <c r="N408" s="266"/>
    </row>
    <row r="409" spans="1:21" s="3" customFormat="1" ht="12.2" customHeight="1" thickTop="1" x14ac:dyDescent="0.15">
      <c r="A409" s="78" t="s">
        <v>421</v>
      </c>
      <c r="B409" s="2" t="s">
        <v>381</v>
      </c>
      <c r="C409" s="6">
        <v>20</v>
      </c>
      <c r="D409" s="6"/>
      <c r="E409" s="40"/>
      <c r="F409" s="47">
        <f>F394+F402+F408</f>
        <v>0</v>
      </c>
      <c r="G409" s="47">
        <f>G394+G402+G408</f>
        <v>20000</v>
      </c>
      <c r="H409" s="47">
        <f>H394+H402+H408</f>
        <v>816.64999999999986</v>
      </c>
      <c r="I409" s="47">
        <f>I394+I402+I408</f>
        <v>0</v>
      </c>
      <c r="J409" s="24" t="s">
        <v>288</v>
      </c>
      <c r="K409" s="24" t="s">
        <v>288</v>
      </c>
      <c r="L409" s="47">
        <f>L394+L402+L408</f>
        <v>20816.649999999998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f>1533.27+1309.18+25677.76+20000</f>
        <v>48520.21</v>
      </c>
      <c r="G440" s="18">
        <f>5257.22+1575.37</f>
        <v>6832.59</v>
      </c>
      <c r="H440" s="18">
        <f>7031.04</f>
        <v>7031.04</v>
      </c>
      <c r="I440" s="56">
        <f t="shared" ref="I440:I446" si="33">SUM(F440:H440)</f>
        <v>62383.840000000004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48520.21</v>
      </c>
      <c r="G447" s="13">
        <f>SUM(G440:G446)</f>
        <v>6832.59</v>
      </c>
      <c r="H447" s="13">
        <f>SUM(H440:H446)</f>
        <v>7031.04</v>
      </c>
      <c r="I447" s="13">
        <f>SUM(I440:I446)</f>
        <v>62383.840000000004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28520.21+20000</f>
        <v>48520.21</v>
      </c>
      <c r="G460" s="18">
        <v>6832.59</v>
      </c>
      <c r="H460" s="18">
        <v>7031.04</v>
      </c>
      <c r="I460" s="56">
        <f t="shared" si="34"/>
        <v>62383.840000000004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48520.21</v>
      </c>
      <c r="G461" s="83">
        <f>SUM(G455:G460)</f>
        <v>6832.59</v>
      </c>
      <c r="H461" s="83">
        <f>SUM(H455:H460)</f>
        <v>7031.04</v>
      </c>
      <c r="I461" s="83">
        <f>SUM(I455:I460)</f>
        <v>62383.840000000004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48520.21</v>
      </c>
      <c r="G462" s="42">
        <f>G453+G461</f>
        <v>6832.59</v>
      </c>
      <c r="H462" s="42">
        <f>H453+H461</f>
        <v>7031.04</v>
      </c>
      <c r="I462" s="42">
        <f>I453+I461</f>
        <v>62383.840000000004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116959.1</v>
      </c>
      <c r="G466" s="18">
        <v>-11859.94</v>
      </c>
      <c r="H466" s="18">
        <v>-17591.02</v>
      </c>
      <c r="I466" s="18">
        <v>12638.86</v>
      </c>
      <c r="J466" s="18">
        <v>41567.19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3422332</v>
      </c>
      <c r="G469" s="18">
        <v>20613.2</v>
      </c>
      <c r="H469" s="18">
        <v>99978.3</v>
      </c>
      <c r="I469" s="18"/>
      <c r="J469" s="18">
        <f>816.65+20000</f>
        <v>20816.650000000001</v>
      </c>
      <c r="K469" s="24" t="s">
        <v>288</v>
      </c>
      <c r="L469" s="24" t="s">
        <v>288</v>
      </c>
      <c r="N469" s="265"/>
    </row>
    <row r="470" spans="1:14" s="52" customFormat="1" ht="12.2" customHeight="1" x14ac:dyDescent="0.2">
      <c r="A470" s="93" t="s">
        <v>611</v>
      </c>
      <c r="B470" s="75">
        <v>19</v>
      </c>
      <c r="C470" s="80">
        <v>3</v>
      </c>
      <c r="D470" s="2" t="s">
        <v>432</v>
      </c>
      <c r="E470" s="80"/>
      <c r="F470" s="18"/>
      <c r="G470" s="18"/>
      <c r="H470" s="18">
        <v>0</v>
      </c>
      <c r="I470" s="18"/>
      <c r="J470" s="18">
        <v>0</v>
      </c>
      <c r="K470" s="24" t="s">
        <v>288</v>
      </c>
      <c r="L470" s="24" t="s">
        <v>288</v>
      </c>
      <c r="N470" s="265"/>
    </row>
    <row r="471" spans="1:14" s="52" customFormat="1" ht="12.2" customHeight="1" x14ac:dyDescent="0.2">
      <c r="A471" s="92" t="s">
        <v>425</v>
      </c>
      <c r="B471" s="75">
        <v>19</v>
      </c>
      <c r="C471" s="80">
        <v>4</v>
      </c>
      <c r="D471" s="2" t="s">
        <v>432</v>
      </c>
      <c r="E471" s="80"/>
      <c r="F471" s="53">
        <f>SUM(F469:F470)</f>
        <v>3422332</v>
      </c>
      <c r="G471" s="53">
        <f>SUM(G469:G470)</f>
        <v>20613.2</v>
      </c>
      <c r="H471" s="53">
        <f>SUM(H469:H470)</f>
        <v>99978.3</v>
      </c>
      <c r="I471" s="53">
        <f>SUM(I469:I470)</f>
        <v>0</v>
      </c>
      <c r="J471" s="53">
        <f>SUM(J469:J470)</f>
        <v>20816.650000000001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3076347.51</v>
      </c>
      <c r="G473" s="18">
        <v>54271.46</v>
      </c>
      <c r="H473" s="18">
        <v>98689.32</v>
      </c>
      <c r="I473" s="18">
        <v>0</v>
      </c>
      <c r="J473" s="18">
        <v>0</v>
      </c>
      <c r="K473" s="24" t="s">
        <v>288</v>
      </c>
      <c r="L473" s="24" t="s">
        <v>288</v>
      </c>
      <c r="N473" s="265"/>
    </row>
    <row r="474" spans="1:14" s="52" customFormat="1" ht="12.2" customHeight="1" x14ac:dyDescent="0.2">
      <c r="A474" s="93" t="s">
        <v>613</v>
      </c>
      <c r="B474" s="75">
        <v>19</v>
      </c>
      <c r="C474" s="80">
        <v>6</v>
      </c>
      <c r="D474" s="2" t="s">
        <v>432</v>
      </c>
      <c r="E474" s="80"/>
      <c r="F474" s="18">
        <v>20000</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3096347.51</v>
      </c>
      <c r="G475" s="53">
        <f>SUM(G473:G474)</f>
        <v>54271.46</v>
      </c>
      <c r="H475" s="53">
        <f>SUM(H473:H474)</f>
        <v>98689.32</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442943.59000000032</v>
      </c>
      <c r="G477" s="53">
        <f>(G466+G471)- G475</f>
        <v>-45518.2</v>
      </c>
      <c r="H477" s="53">
        <f>(H466+H471)- H475</f>
        <v>-16302.040000000008</v>
      </c>
      <c r="I477" s="53">
        <f>(I466+I471)- I475</f>
        <v>12638.86</v>
      </c>
      <c r="J477" s="53">
        <f>(J466+J471)- J475</f>
        <v>62383.840000000004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t="s">
        <v>1648</v>
      </c>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20</v>
      </c>
      <c r="H491" s="154">
        <v>20</v>
      </c>
      <c r="I491" s="154">
        <v>20</v>
      </c>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t="s">
        <v>1645</v>
      </c>
      <c r="H492" s="154">
        <v>0.6428571428571429</v>
      </c>
      <c r="I492" s="154">
        <v>0.5</v>
      </c>
      <c r="J492" s="154"/>
      <c r="K492" s="24" t="s">
        <v>288</v>
      </c>
      <c r="L492" s="24" t="s">
        <v>288</v>
      </c>
      <c r="N492" s="265"/>
    </row>
    <row r="493" spans="1:14" s="52" customFormat="1" ht="12.2" customHeight="1" x14ac:dyDescent="0.2">
      <c r="A493" s="22" t="s">
        <v>616</v>
      </c>
      <c r="B493" s="75">
        <v>20</v>
      </c>
      <c r="C493" s="115">
        <v>3</v>
      </c>
      <c r="D493" s="2" t="s">
        <v>432</v>
      </c>
      <c r="E493" s="115"/>
      <c r="F493" s="155" t="s">
        <v>1646</v>
      </c>
      <c r="G493" s="155" t="s">
        <v>1647</v>
      </c>
      <c r="H493" s="154">
        <v>0.26470588235294118</v>
      </c>
      <c r="I493" s="154">
        <v>0.20588235294117646</v>
      </c>
      <c r="J493" s="154"/>
      <c r="K493" s="24" t="s">
        <v>288</v>
      </c>
      <c r="L493" s="24" t="s">
        <v>288</v>
      </c>
      <c r="N493" s="265"/>
    </row>
    <row r="494" spans="1:14" s="52" customFormat="1" ht="12.2" customHeight="1" x14ac:dyDescent="0.2">
      <c r="A494" s="22" t="s">
        <v>617</v>
      </c>
      <c r="B494" s="75">
        <v>20</v>
      </c>
      <c r="C494" s="115">
        <v>4</v>
      </c>
      <c r="D494" s="2" t="s">
        <v>432</v>
      </c>
      <c r="E494" s="115"/>
      <c r="F494" s="18">
        <v>4571850</v>
      </c>
      <c r="G494" s="18">
        <v>550000</v>
      </c>
      <c r="H494" s="18">
        <v>738629</v>
      </c>
      <c r="I494" s="18">
        <v>1840000</v>
      </c>
      <c r="J494" s="18"/>
      <c r="K494" s="24" t="s">
        <v>288</v>
      </c>
      <c r="L494" s="24" t="s">
        <v>288</v>
      </c>
      <c r="N494" s="265"/>
    </row>
    <row r="495" spans="1:14" s="52" customFormat="1" ht="12.2" customHeight="1" x14ac:dyDescent="0.2">
      <c r="A495" s="22" t="s">
        <v>618</v>
      </c>
      <c r="B495" s="75">
        <v>20</v>
      </c>
      <c r="C495" s="115">
        <v>5</v>
      </c>
      <c r="D495" s="2" t="s">
        <v>432</v>
      </c>
      <c r="E495" s="115"/>
      <c r="F495" s="18">
        <v>3.2</v>
      </c>
      <c r="G495" s="18">
        <v>3.25</v>
      </c>
      <c r="H495" s="18">
        <v>3.25</v>
      </c>
      <c r="I495" s="18">
        <v>3.2534000000000001</v>
      </c>
      <c r="J495" s="18"/>
      <c r="K495" s="24" t="s">
        <v>288</v>
      </c>
      <c r="L495" s="24" t="s">
        <v>288</v>
      </c>
      <c r="N495" s="265"/>
    </row>
    <row r="496" spans="1:14" s="52" customFormat="1" ht="12.2" customHeight="1" x14ac:dyDescent="0.2">
      <c r="A496" s="22" t="s">
        <v>619</v>
      </c>
      <c r="B496" s="75">
        <v>20</v>
      </c>
      <c r="C496" s="115">
        <v>6</v>
      </c>
      <c r="D496" s="2" t="s">
        <v>432</v>
      </c>
      <c r="E496" s="115"/>
      <c r="F496" s="18">
        <v>3190000</v>
      </c>
      <c r="G496" s="18">
        <v>412500</v>
      </c>
      <c r="H496" s="18">
        <v>389385.08</v>
      </c>
      <c r="I496" s="18">
        <v>1555000</v>
      </c>
      <c r="J496" s="18"/>
      <c r="K496" s="53">
        <f>SUM(F496:J496)</f>
        <v>5546885.0800000001</v>
      </c>
      <c r="L496" s="24" t="s">
        <v>288</v>
      </c>
      <c r="N496" s="265"/>
    </row>
    <row r="497" spans="1:14" s="52" customFormat="1" ht="12.2" customHeight="1" x14ac:dyDescent="0.2">
      <c r="A497" s="22" t="s">
        <v>620</v>
      </c>
      <c r="B497" s="75">
        <v>20</v>
      </c>
      <c r="C497" s="115">
        <v>7</v>
      </c>
      <c r="D497" s="2" t="s">
        <v>432</v>
      </c>
      <c r="E497" s="115"/>
      <c r="F497" s="18"/>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230000</v>
      </c>
      <c r="G498" s="18">
        <v>27500</v>
      </c>
      <c r="H498" s="18">
        <v>36931.449999999997</v>
      </c>
      <c r="I498" s="18">
        <v>95000</v>
      </c>
      <c r="J498" s="18"/>
      <c r="K498" s="53">
        <f t="shared" si="35"/>
        <v>389431.45</v>
      </c>
      <c r="L498" s="24" t="s">
        <v>288</v>
      </c>
      <c r="N498" s="265"/>
    </row>
    <row r="499" spans="1:14" s="52" customFormat="1" ht="12.2" customHeight="1" x14ac:dyDescent="0.2">
      <c r="A499" s="200" t="s">
        <v>622</v>
      </c>
      <c r="B499" s="201">
        <v>20</v>
      </c>
      <c r="C499" s="202">
        <v>9</v>
      </c>
      <c r="D499" s="203" t="s">
        <v>432</v>
      </c>
      <c r="E499" s="202"/>
      <c r="F499" s="204">
        <v>3190000</v>
      </c>
      <c r="G499" s="204">
        <f t="shared" ref="G499:H499" si="36">G498+G497+G496</f>
        <v>440000</v>
      </c>
      <c r="H499" s="204">
        <f t="shared" si="36"/>
        <v>426316.53</v>
      </c>
      <c r="I499" s="204">
        <v>1460000</v>
      </c>
      <c r="J499" s="204"/>
      <c r="K499" s="205">
        <f t="shared" si="35"/>
        <v>5516316.5300000003</v>
      </c>
      <c r="L499" s="206" t="s">
        <v>288</v>
      </c>
      <c r="N499" s="265"/>
    </row>
    <row r="500" spans="1:14" s="52" customFormat="1" ht="12.2" customHeight="1" thickBot="1" x14ac:dyDescent="0.25">
      <c r="A500" s="22" t="s">
        <v>623</v>
      </c>
      <c r="B500" s="75">
        <v>20</v>
      </c>
      <c r="C500" s="115">
        <v>10</v>
      </c>
      <c r="D500" s="2" t="s">
        <v>432</v>
      </c>
      <c r="E500" s="115"/>
      <c r="F500" s="18">
        <v>673397</v>
      </c>
      <c r="G500" s="18">
        <v>51085.15</v>
      </c>
      <c r="H500" s="18">
        <v>62454.18</v>
      </c>
      <c r="I500" s="18">
        <v>446158</v>
      </c>
      <c r="J500" s="18"/>
      <c r="K500" s="53">
        <f t="shared" si="35"/>
        <v>1233094.33</v>
      </c>
      <c r="L500" s="24" t="s">
        <v>288</v>
      </c>
      <c r="N500" s="265"/>
    </row>
    <row r="501" spans="1:14" s="52" customFormat="1" ht="12.2" customHeight="1" thickTop="1" x14ac:dyDescent="0.2">
      <c r="A501" s="139" t="s">
        <v>624</v>
      </c>
      <c r="B501" s="44">
        <v>20</v>
      </c>
      <c r="C501" s="195">
        <v>11</v>
      </c>
      <c r="D501" s="39" t="s">
        <v>432</v>
      </c>
      <c r="E501" s="195"/>
      <c r="F501" s="42">
        <f>SUM(F499:F500)</f>
        <v>3863397</v>
      </c>
      <c r="G501" s="42">
        <f>SUM(G499:G500)</f>
        <v>491085.15</v>
      </c>
      <c r="H501" s="42">
        <f>SUM(H499:H500)</f>
        <v>488770.71</v>
      </c>
      <c r="I501" s="42">
        <f>SUM(I499:I500)</f>
        <v>1906158</v>
      </c>
      <c r="J501" s="42">
        <f>SUM(J499:J500)</f>
        <v>0</v>
      </c>
      <c r="K501" s="42">
        <f t="shared" si="35"/>
        <v>6749410.8600000003</v>
      </c>
      <c r="L501" s="45" t="s">
        <v>288</v>
      </c>
      <c r="N501" s="265"/>
    </row>
    <row r="502" spans="1:14" s="52" customFormat="1" ht="12.2" customHeight="1" x14ac:dyDescent="0.2">
      <c r="A502" s="200" t="s">
        <v>651</v>
      </c>
      <c r="B502" s="201">
        <v>20</v>
      </c>
      <c r="C502" s="202">
        <v>12</v>
      </c>
      <c r="D502" s="203" t="s">
        <v>432</v>
      </c>
      <c r="E502" s="202"/>
      <c r="F502" s="204">
        <v>230000</v>
      </c>
      <c r="G502" s="204">
        <f>27500+27500</f>
        <v>55000</v>
      </c>
      <c r="H502" s="204">
        <v>36931.449999999997</v>
      </c>
      <c r="I502" s="204">
        <v>95000</v>
      </c>
      <c r="J502" s="204"/>
      <c r="K502" s="205">
        <f t="shared" si="35"/>
        <v>416931.45</v>
      </c>
      <c r="L502" s="206" t="s">
        <v>288</v>
      </c>
      <c r="N502" s="265"/>
    </row>
    <row r="503" spans="1:14" s="52" customFormat="1" ht="12.2" customHeight="1" thickBot="1" x14ac:dyDescent="0.25">
      <c r="A503" s="22" t="s">
        <v>625</v>
      </c>
      <c r="B503" s="75">
        <v>20</v>
      </c>
      <c r="C503" s="115">
        <v>13</v>
      </c>
      <c r="D503" s="2" t="s">
        <v>432</v>
      </c>
      <c r="E503" s="115"/>
      <c r="F503" s="18">
        <f>54334.38+49734.38</f>
        <v>104068.76</v>
      </c>
      <c r="G503" s="18">
        <f>5988.72+5705.61</f>
        <v>11694.33</v>
      </c>
      <c r="H503" s="18">
        <f>4653.61+5299.48</f>
        <v>9953.09</v>
      </c>
      <c r="I503" s="18">
        <f>29407.5+26985</f>
        <v>56392.5</v>
      </c>
      <c r="J503" s="18"/>
      <c r="K503" s="53">
        <f t="shared" si="35"/>
        <v>182108.68</v>
      </c>
      <c r="L503" s="24" t="s">
        <v>288</v>
      </c>
      <c r="N503" s="265"/>
    </row>
    <row r="504" spans="1:14" s="52" customFormat="1" ht="12.2" customHeight="1" thickTop="1" x14ac:dyDescent="0.2">
      <c r="A504" s="139" t="s">
        <v>626</v>
      </c>
      <c r="B504" s="44">
        <v>20</v>
      </c>
      <c r="C504" s="195">
        <v>14</v>
      </c>
      <c r="D504" s="39" t="s">
        <v>432</v>
      </c>
      <c r="E504" s="195"/>
      <c r="F504" s="42">
        <f>SUM(F502:F503)</f>
        <v>334068.76</v>
      </c>
      <c r="G504" s="42">
        <f>SUM(G502:G503)</f>
        <v>66694.33</v>
      </c>
      <c r="H504" s="42">
        <f>SUM(H502:H503)</f>
        <v>46884.539999999994</v>
      </c>
      <c r="I504" s="42">
        <f>SUM(I502:I503)</f>
        <v>151392.5</v>
      </c>
      <c r="J504" s="42">
        <f>SUM(J502:J503)</f>
        <v>0</v>
      </c>
      <c r="K504" s="42">
        <f t="shared" si="35"/>
        <v>599040.13</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
        <v>133897.37</v>
      </c>
      <c r="G522" s="18">
        <f>G199+G278</f>
        <v>65608.55</v>
      </c>
      <c r="H522" s="18">
        <f>H199+H278-H527</f>
        <v>3933.9500000000116</v>
      </c>
      <c r="I522" s="18">
        <f>I199+I278</f>
        <v>0</v>
      </c>
      <c r="J522" s="18">
        <f>J199+J278</f>
        <v>1410.16</v>
      </c>
      <c r="K522" s="18">
        <f>K199+K278</f>
        <v>0</v>
      </c>
      <c r="L522" s="88">
        <f>SUM(F522:K522)</f>
        <v>204850.03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f>H235</f>
        <v>65915.320000000007</v>
      </c>
      <c r="I524" s="18"/>
      <c r="J524" s="18"/>
      <c r="K524" s="18"/>
      <c r="L524" s="88">
        <f>SUM(F524:K524)</f>
        <v>65915.320000000007</v>
      </c>
      <c r="N524" s="265"/>
    </row>
    <row r="525" spans="1:14" s="52" customFormat="1" ht="12.2" customHeight="1" thickTop="1" x14ac:dyDescent="0.2">
      <c r="A525" s="139" t="s">
        <v>63</v>
      </c>
      <c r="B525" s="107">
        <v>21</v>
      </c>
      <c r="C525" s="195">
        <v>4</v>
      </c>
      <c r="D525" s="196" t="s">
        <v>432</v>
      </c>
      <c r="E525" s="195"/>
      <c r="F525" s="108">
        <f>SUM(F522:F524)</f>
        <v>133897.37</v>
      </c>
      <c r="G525" s="108">
        <f t="shared" ref="G525:L525" si="37">SUM(G522:G524)</f>
        <v>65608.55</v>
      </c>
      <c r="H525" s="108">
        <f t="shared" si="37"/>
        <v>69849.270000000019</v>
      </c>
      <c r="I525" s="108">
        <f t="shared" si="37"/>
        <v>0</v>
      </c>
      <c r="J525" s="108">
        <f t="shared" si="37"/>
        <v>1410.16</v>
      </c>
      <c r="K525" s="108">
        <f t="shared" si="37"/>
        <v>0</v>
      </c>
      <c r="L525" s="89">
        <f t="shared" si="37"/>
        <v>270765.34999999998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2109</v>
      </c>
      <c r="I527" s="18"/>
      <c r="J527" s="18"/>
      <c r="K527" s="18"/>
      <c r="L527" s="88">
        <f>SUM(F527:K527)</f>
        <v>2109</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2109</v>
      </c>
      <c r="I530" s="89">
        <f t="shared" si="38"/>
        <v>0</v>
      </c>
      <c r="J530" s="89">
        <f t="shared" si="38"/>
        <v>0</v>
      </c>
      <c r="K530" s="89">
        <f t="shared" si="38"/>
        <v>0</v>
      </c>
      <c r="L530" s="89">
        <f t="shared" si="38"/>
        <v>2109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12116.741248</v>
      </c>
      <c r="G532" s="18">
        <v>6619.3597840000002</v>
      </c>
      <c r="H532" s="18">
        <v>134.69524799999999</v>
      </c>
      <c r="I532" s="18">
        <v>68.664960000000008</v>
      </c>
      <c r="J532" s="18">
        <v>83.997200000000007</v>
      </c>
      <c r="K532" s="18">
        <v>0</v>
      </c>
      <c r="L532" s="88">
        <f>SUM(F532:K532)</f>
        <v>19023.458439999999</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12116.741248</v>
      </c>
      <c r="G535" s="89">
        <f t="shared" ref="G535:L535" si="39">SUM(G532:G534)</f>
        <v>6619.3597840000002</v>
      </c>
      <c r="H535" s="89">
        <f t="shared" si="39"/>
        <v>134.69524799999999</v>
      </c>
      <c r="I535" s="89">
        <f t="shared" si="39"/>
        <v>68.664960000000008</v>
      </c>
      <c r="J535" s="89">
        <f t="shared" si="39"/>
        <v>83.997200000000007</v>
      </c>
      <c r="K535" s="89">
        <f t="shared" si="39"/>
        <v>0</v>
      </c>
      <c r="L535" s="89">
        <f t="shared" si="39"/>
        <v>19023.458439999999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840</v>
      </c>
      <c r="I542" s="18"/>
      <c r="J542" s="18"/>
      <c r="K542" s="18"/>
      <c r="L542" s="88">
        <f>SUM(F542:K542)</f>
        <v>840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f>5351.24+17909.73</f>
        <v>23260.97</v>
      </c>
      <c r="I544" s="18"/>
      <c r="J544" s="18"/>
      <c r="K544" s="18"/>
      <c r="L544" s="88">
        <f>SUM(F544:K544)</f>
        <v>23260.97</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24100.97</v>
      </c>
      <c r="I545" s="193">
        <f t="shared" si="41"/>
        <v>0</v>
      </c>
      <c r="J545" s="193">
        <f t="shared" si="41"/>
        <v>0</v>
      </c>
      <c r="K545" s="193">
        <f t="shared" si="41"/>
        <v>0</v>
      </c>
      <c r="L545" s="193">
        <f t="shared" si="41"/>
        <v>24100.97</v>
      </c>
      <c r="M545" s="8"/>
      <c r="N545" s="266"/>
    </row>
    <row r="546" spans="1:14" s="3" customFormat="1" ht="12.2" customHeight="1" thickTop="1" x14ac:dyDescent="0.15">
      <c r="A546" s="98" t="s">
        <v>72</v>
      </c>
      <c r="B546" s="107">
        <v>21</v>
      </c>
      <c r="C546" s="107">
        <v>21</v>
      </c>
      <c r="D546" s="158" t="s">
        <v>432</v>
      </c>
      <c r="E546" s="107"/>
      <c r="F546" s="89">
        <f>F525+F530+F535+F540+F545</f>
        <v>146014.111248</v>
      </c>
      <c r="G546" s="89">
        <f t="shared" ref="G546:L546" si="42">G525+G530+G535+G540+G545</f>
        <v>72227.909784000003</v>
      </c>
      <c r="H546" s="89">
        <f t="shared" si="42"/>
        <v>96193.935248000023</v>
      </c>
      <c r="I546" s="89">
        <f t="shared" si="42"/>
        <v>68.664960000000008</v>
      </c>
      <c r="J546" s="89">
        <f t="shared" si="42"/>
        <v>1494.1572000000001</v>
      </c>
      <c r="K546" s="89">
        <f t="shared" si="42"/>
        <v>0</v>
      </c>
      <c r="L546" s="89">
        <f t="shared" si="42"/>
        <v>315998.77844000002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204850.03</v>
      </c>
      <c r="G550" s="87">
        <f>L527</f>
        <v>2109</v>
      </c>
      <c r="H550" s="87">
        <f>L532</f>
        <v>19023.458439999999</v>
      </c>
      <c r="I550" s="87">
        <f>L537</f>
        <v>0</v>
      </c>
      <c r="J550" s="87">
        <f>L542</f>
        <v>840</v>
      </c>
      <c r="K550" s="87">
        <f>SUM(F550:J550)</f>
        <v>226822.48843999999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65915.320000000007</v>
      </c>
      <c r="G552" s="87">
        <f>L529</f>
        <v>0</v>
      </c>
      <c r="H552" s="87">
        <f>L534</f>
        <v>0</v>
      </c>
      <c r="I552" s="87">
        <f>L539</f>
        <v>0</v>
      </c>
      <c r="J552" s="87">
        <f>L544</f>
        <v>23260.97</v>
      </c>
      <c r="K552" s="87">
        <f>SUM(F552:J552)</f>
        <v>89176.290000000008</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270765.34999999998</v>
      </c>
      <c r="G553" s="89">
        <f t="shared" si="43"/>
        <v>2109</v>
      </c>
      <c r="H553" s="89">
        <f t="shared" si="43"/>
        <v>19023.458439999999</v>
      </c>
      <c r="I553" s="89">
        <f t="shared" si="43"/>
        <v>0</v>
      </c>
      <c r="J553" s="89">
        <f t="shared" si="43"/>
        <v>24100.97</v>
      </c>
      <c r="K553" s="89">
        <f t="shared" si="43"/>
        <v>315998.77844000002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664406</v>
      </c>
      <c r="I576" s="87">
        <f>SUM(F576:H576)</f>
        <v>664406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c r="H580" s="18">
        <v>3120.1</v>
      </c>
      <c r="I580" s="87">
        <f t="shared" si="48"/>
        <v>3120.1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45960</v>
      </c>
      <c r="I581" s="87">
        <f t="shared" si="48"/>
        <v>45960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8"/>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85401.84-840</f>
        <v>84561.84</v>
      </c>
      <c r="I592" s="18"/>
      <c r="J592" s="18"/>
      <c r="K592" s="104">
        <f t="shared" ref="K592:K598" si="49">SUM(H592:J592)</f>
        <v>84561.84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840</v>
      </c>
      <c r="I593" s="18"/>
      <c r="J593" s="18">
        <v>23260.97</v>
      </c>
      <c r="K593" s="104">
        <f t="shared" si="49"/>
        <v>24100.97</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9"/>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85401.84</v>
      </c>
      <c r="I599" s="108">
        <f>SUM(I592:I598)</f>
        <v>0</v>
      </c>
      <c r="J599" s="108">
        <f>SUM(J592:J598)</f>
        <v>23260.97</v>
      </c>
      <c r="K599" s="108">
        <f>SUM(K592:K598)</f>
        <v>108662.81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100</v>
      </c>
      <c r="I604" s="18"/>
      <c r="J604" s="18"/>
      <c r="K604" s="104">
        <f>SUM(H604:J604)</f>
        <v>100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63550.86</v>
      </c>
      <c r="I605" s="18"/>
      <c r="J605" s="18"/>
      <c r="K605" s="104">
        <f>SUM(H605:J605)</f>
        <v>63550.86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63650.86</v>
      </c>
      <c r="I606" s="108">
        <f>SUM(I603:I605)</f>
        <v>0</v>
      </c>
      <c r="J606" s="108">
        <f>SUM(J603:J605)</f>
        <v>0</v>
      </c>
      <c r="K606" s="108">
        <f>SUM(K603:K605)</f>
        <v>63650.86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1240452.22</v>
      </c>
      <c r="H618" s="109">
        <f>SUM(F52)</f>
        <v>1240452.22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-45518.200000000004</v>
      </c>
      <c r="H619" s="109">
        <f>SUM(G52)</f>
        <v>-45518.2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89617.42</v>
      </c>
      <c r="H620" s="109">
        <f>SUM(H52)</f>
        <v>89617.419999999984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53458.37</v>
      </c>
      <c r="H621" s="109">
        <f>SUM(I52)</f>
        <v>53458.37</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62383.840000000004</v>
      </c>
      <c r="H622" s="109">
        <f>SUM(J52)</f>
        <v>62383.840000000004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442943.59</v>
      </c>
      <c r="H623" s="109">
        <f>F477</f>
        <v>442943.59000000032</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-45518.2</v>
      </c>
      <c r="H624" s="109">
        <f>G477</f>
        <v>-45518.2</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-16302.04</v>
      </c>
      <c r="H625" s="109">
        <f>H477</f>
        <v>-16302.040000000008</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12638.86</v>
      </c>
      <c r="H626" s="109">
        <f>I477</f>
        <v>12638.86</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62383.840000000004</v>
      </c>
      <c r="H627" s="109">
        <f>J477</f>
        <v>62383.840000000004</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3422332</v>
      </c>
      <c r="H628" s="104">
        <f>SUM(F469)</f>
        <v>3422332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20613.199999999997</v>
      </c>
      <c r="H629" s="104">
        <f>SUM(G469)</f>
        <v>20613.2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99978.3</v>
      </c>
      <c r="H630" s="104">
        <f>SUM(H469)</f>
        <v>99978.3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20816.650000000001</v>
      </c>
      <c r="H632" s="104">
        <f>SUM(J469)</f>
        <v>20816.650000000001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3076347.5100000002</v>
      </c>
      <c r="H633" s="104">
        <f>SUM(F473)</f>
        <v>3076347.51</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98689.32</v>
      </c>
      <c r="H634" s="104">
        <f>SUM(H473)</f>
        <v>98689.32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54271.46</v>
      </c>
      <c r="H636" s="104">
        <f>SUM(G473)</f>
        <v>54271.46</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20816.649999999998</v>
      </c>
      <c r="H638" s="164">
        <f>SUM(J469)</f>
        <v>20816.650000000001</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48520.21</v>
      </c>
      <c r="H640" s="104">
        <f>SUM(F462)</f>
        <v>48520.21</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6832.59</v>
      </c>
      <c r="H641" s="104">
        <f>SUM(G462)</f>
        <v>6832.59</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7031.04</v>
      </c>
      <c r="H642" s="104">
        <f>SUM(H462)</f>
        <v>7031.04</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62383.840000000004</v>
      </c>
      <c r="H643" s="104">
        <f>SUM(I462)</f>
        <v>62383.840000000004</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816.65</v>
      </c>
      <c r="H645" s="104">
        <f>H409</f>
        <v>816.64999999999986</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20816.650000000001</v>
      </c>
      <c r="H647" s="104">
        <f>L409</f>
        <v>20816.649999999998</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108662.81</v>
      </c>
      <c r="H648" s="104">
        <f>L209+L227+L245</f>
        <v>108662.81</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63650.86</v>
      </c>
      <c r="H649" s="104">
        <f>(J258+J339)-(J256+J337)</f>
        <v>63650.86</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85401.84</v>
      </c>
      <c r="H650" s="104">
        <f>H599</f>
        <v>85401.84</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23260.97</v>
      </c>
      <c r="H652" s="104">
        <f>J599</f>
        <v>23260.97</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10602.22</v>
      </c>
      <c r="H653" s="104">
        <f>K264+K346</f>
        <v>10602.22</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1862268.56</v>
      </c>
      <c r="G661" s="19">
        <f>(L230+L310+L360)</f>
        <v>0</v>
      </c>
      <c r="H661" s="19">
        <f>(L248+L329+L361)</f>
        <v>754422.29</v>
      </c>
      <c r="I661" s="19">
        <f>SUM(F661:H661)</f>
        <v>2616690.85</v>
      </c>
      <c r="J661" s="13"/>
      <c r="K661" s="13"/>
      <c r="L661" s="13"/>
      <c r="M661" s="9"/>
    </row>
    <row r="662" spans="1:13" s="3" customFormat="1" ht="12.2" customHeight="1" x14ac:dyDescent="0.2">
      <c r="A662" s="1" t="s">
        <v>127</v>
      </c>
      <c r="F662" s="19">
        <f>(L359/IF(SUM(L359:L361)=0,1,SUM(L359:L361))*(SUM(G97:G110)))</f>
        <v>3699.63</v>
      </c>
      <c r="G662" s="19">
        <f>(L360/IF(SUM(L359:L361)=0,1,SUM(L359:L361))*(SUM(G97:G110)))</f>
        <v>0</v>
      </c>
      <c r="H662" s="19">
        <f>(L361/IF(SUM(L359:L361)=0,1,SUM(L359:L361))*(SUM(G97:G110)))</f>
        <v>0</v>
      </c>
      <c r="I662" s="19">
        <f>SUM(F662:H662)</f>
        <v>3699.63</v>
      </c>
      <c r="J662"/>
      <c r="K662" s="13"/>
      <c r="L662" s="13"/>
      <c r="M662" s="8"/>
    </row>
    <row r="663" spans="1:13" s="3" customFormat="1" ht="12.2" customHeight="1" x14ac:dyDescent="0.2">
      <c r="A663" s="1" t="s">
        <v>128</v>
      </c>
      <c r="F663" s="19">
        <f>(L209+L288)-(J209+J288)</f>
        <v>55387.939999999995</v>
      </c>
      <c r="G663" s="19">
        <f>(L227+L307)-(J227+J307)</f>
        <v>0</v>
      </c>
      <c r="H663" s="19">
        <f>(L245+L326)-(J245+J326)</f>
        <v>23260.97</v>
      </c>
      <c r="I663" s="19">
        <f>SUM(F663:H663)</f>
        <v>78648.91</v>
      </c>
      <c r="J663"/>
      <c r="K663" s="13"/>
      <c r="L663" s="13"/>
      <c r="M663" s="9"/>
    </row>
    <row r="664" spans="1:13" s="3" customFormat="1" ht="12.2" customHeight="1" x14ac:dyDescent="0.15">
      <c r="A664" s="198" t="s">
        <v>129</v>
      </c>
      <c r="B664" s="169"/>
      <c r="C664" s="169"/>
      <c r="D664" s="169"/>
      <c r="E664" s="169"/>
      <c r="F664" s="199">
        <f>SUM(F576:F588)+SUM(H603:H605)+SUM(L612)</f>
        <v>63650.86</v>
      </c>
      <c r="G664" s="199">
        <f>SUM(G576:G588)+SUM(I603:I605)+L613</f>
        <v>0</v>
      </c>
      <c r="H664" s="199">
        <f>SUM(H576:H588)+SUM(J603:J605)+L614</f>
        <v>713486.1</v>
      </c>
      <c r="I664" s="19">
        <f>SUM(F664:H664)</f>
        <v>777136.96</v>
      </c>
      <c r="J664" s="13"/>
      <c r="K664" s="13"/>
      <c r="L664" s="13"/>
      <c r="M664" s="9"/>
    </row>
    <row r="665" spans="1:13" s="3" customFormat="1" ht="12.2" customHeight="1" x14ac:dyDescent="0.15">
      <c r="A665" s="1" t="s">
        <v>130</v>
      </c>
      <c r="F665" s="19">
        <f>F661-SUM(F662:F664)</f>
        <v>1739530.1300000001</v>
      </c>
      <c r="G665" s="19">
        <f>G661-SUM(G662:G664)</f>
        <v>0</v>
      </c>
      <c r="H665" s="19">
        <f>H661-SUM(H662:H664)</f>
        <v>17675.220000000088</v>
      </c>
      <c r="I665" s="19">
        <f>I661-SUM(I662:I664)</f>
        <v>1757205.35</v>
      </c>
      <c r="J665" s="13"/>
      <c r="K665" s="13"/>
      <c r="L665" s="13"/>
      <c r="M665" s="8"/>
    </row>
    <row r="666" spans="1:13" s="3" customFormat="1" ht="12.2" customHeight="1" x14ac:dyDescent="0.2">
      <c r="A666" s="1" t="s">
        <v>131</v>
      </c>
      <c r="F666" s="246">
        <v>89.7</v>
      </c>
      <c r="G666" s="247"/>
      <c r="H666" s="247"/>
      <c r="I666" s="19">
        <f>SUM(F666:H666)</f>
        <v>89.7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19392.759999999998</v>
      </c>
      <c r="G668" s="19" t="e">
        <f>ROUND(G665/G666,2)</f>
        <v>#DIV/0!</v>
      </c>
      <c r="H668" s="19" t="e">
        <f>ROUND(H665/H666,2)</f>
        <v>#DIV/0!</v>
      </c>
      <c r="I668" s="19">
        <f>ROUND(I665/I666,2)</f>
        <v>19589.8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-17675.22</v>
      </c>
      <c r="I670" s="19">
        <f>SUM(F670:H670)</f>
        <v>-17675.22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19392.759999999998</v>
      </c>
      <c r="G673" s="19" t="e">
        <f>ROUND((G665+G670)/(G666+G671),2)</f>
        <v>#DIV/0!</v>
      </c>
      <c r="H673" s="19" t="e">
        <f>ROUND((H665+H670)/(H666+H671),2)</f>
        <v>#DIV/0!</v>
      </c>
      <c r="I673" s="19">
        <f>ROUND((I665+I670)/(I666+I671),2)</f>
        <v>19392.759999999998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603JSNWY6j/E/l/Twx+YZymEqZLh+4Q+ihWYF+xKVpg1OeAUrhgxo9qV4d99Mb7E6ylwarx/awdtT6RdXYOQcQ==" saltValue="f6Q4bvy08imNfIa3M8SPnQ=="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Unity School District</v>
      </c>
      <c r="C5" s="344"/>
      <c r="D5" s="344"/>
      <c r="E5" s="344"/>
      <c r="F5" s="344"/>
    </row>
    <row r="8" spans="1:9" ht="18" x14ac:dyDescent="0.25">
      <c r="A8" s="323" t="s">
        <v>1591</v>
      </c>
      <c r="F8" s="330" t="s">
        <v>1609</v>
      </c>
    </row>
    <row r="9" spans="1:9" ht="15" x14ac:dyDescent="0.2">
      <c r="A9" s="321" t="s">
        <v>1592</v>
      </c>
      <c r="B9" s="324">
        <f>'DOE25'!G97</f>
        <v>3699.63</v>
      </c>
      <c r="F9" s="321" t="s">
        <v>1605</v>
      </c>
    </row>
    <row r="10" spans="1:9" ht="15" x14ac:dyDescent="0.2">
      <c r="A10" s="321" t="s">
        <v>1593</v>
      </c>
      <c r="B10" s="324">
        <f>'DOE25'!G112-'DOE25'!G97</f>
        <v>0</v>
      </c>
      <c r="F10" s="321" t="s">
        <v>1606</v>
      </c>
    </row>
    <row r="11" spans="1:9" ht="15" x14ac:dyDescent="0.2">
      <c r="A11" s="321" t="s">
        <v>1594</v>
      </c>
      <c r="B11" s="324">
        <f>'DOE25'!G140</f>
        <v>18.809999999999999</v>
      </c>
      <c r="F11" s="321" t="s">
        <v>1607</v>
      </c>
    </row>
    <row r="12" spans="1:9" ht="15" x14ac:dyDescent="0.2">
      <c r="A12" s="321" t="s">
        <v>1595</v>
      </c>
      <c r="B12" s="324">
        <f>'DOE25'!G170</f>
        <v>6292.54</v>
      </c>
      <c r="F12" s="321" t="s">
        <v>1608</v>
      </c>
    </row>
    <row r="13" spans="1:9" ht="15" x14ac:dyDescent="0.2">
      <c r="A13" s="321" t="s">
        <v>1596</v>
      </c>
      <c r="B13" s="324">
        <f>'DOE25'!G193-'DOE25'!G180</f>
        <v>0</v>
      </c>
      <c r="F13" s="321" t="s">
        <v>1618</v>
      </c>
    </row>
    <row r="14" spans="1:9" ht="18" x14ac:dyDescent="0.25">
      <c r="A14" s="323" t="s">
        <v>732</v>
      </c>
      <c r="B14" s="325">
        <f>SUM(B9:B13)</f>
        <v>10010.98</v>
      </c>
    </row>
    <row r="16" spans="1:9" ht="18" x14ac:dyDescent="0.25">
      <c r="A16" s="323" t="s">
        <v>786</v>
      </c>
      <c r="F16" s="330" t="s">
        <v>1610</v>
      </c>
    </row>
    <row r="17" spans="1:6" ht="15" x14ac:dyDescent="0.2">
      <c r="A17" s="321" t="s">
        <v>1597</v>
      </c>
      <c r="B17" s="324">
        <f>'DOE25'!L363-'DOE25'!L362</f>
        <v>54271.46</v>
      </c>
      <c r="F17" s="321" t="s">
        <v>1611</v>
      </c>
    </row>
    <row r="18" spans="1:6" ht="15" x14ac:dyDescent="0.2">
      <c r="A18" s="321" t="s">
        <v>1598</v>
      </c>
      <c r="B18" s="338"/>
      <c r="F18" s="330" t="s">
        <v>1637</v>
      </c>
    </row>
    <row r="19" spans="1:6" ht="18" x14ac:dyDescent="0.25">
      <c r="A19" s="323" t="s">
        <v>725</v>
      </c>
      <c r="B19" s="325">
        <f>SUM(B17:B18)</f>
        <v>54271.46</v>
      </c>
    </row>
    <row r="21" spans="1:6" ht="18.75" thickBot="1" x14ac:dyDescent="0.3">
      <c r="A21" s="323" t="s">
        <v>1599</v>
      </c>
    </row>
    <row r="22" spans="1:6" ht="18.75" thickTop="1" x14ac:dyDescent="0.25">
      <c r="A22" s="323" t="s">
        <v>1600</v>
      </c>
      <c r="B22" s="329">
        <f>B14-B19</f>
        <v>-44260.479999999996</v>
      </c>
      <c r="F22" s="321" t="s">
        <v>1612</v>
      </c>
    </row>
    <row r="26" spans="1:6" ht="18" x14ac:dyDescent="0.25">
      <c r="A26" s="323" t="s">
        <v>186</v>
      </c>
    </row>
    <row r="27" spans="1:6" ht="15" x14ac:dyDescent="0.2">
      <c r="A27" s="321" t="s">
        <v>1601</v>
      </c>
      <c r="B27" s="324">
        <f>'DOE25'!G180</f>
        <v>10602.22</v>
      </c>
      <c r="F27" s="321" t="s">
        <v>1613</v>
      </c>
    </row>
    <row r="28" spans="1:6" ht="15" x14ac:dyDescent="0.2">
      <c r="A28" s="321" t="s">
        <v>1603</v>
      </c>
      <c r="B28" s="324">
        <f>'DOE25'!L362</f>
        <v>0</v>
      </c>
      <c r="F28" s="321" t="s">
        <v>1614</v>
      </c>
    </row>
    <row r="31" spans="1:6" ht="15" x14ac:dyDescent="0.2">
      <c r="A31" s="321" t="s">
        <v>1640</v>
      </c>
      <c r="B31" s="324">
        <f>'DOE25'!G466</f>
        <v>-11859.94</v>
      </c>
      <c r="F31" s="321" t="s">
        <v>1615</v>
      </c>
    </row>
    <row r="33" spans="1:6" ht="15" x14ac:dyDescent="0.2">
      <c r="A33" s="321" t="s">
        <v>1641</v>
      </c>
      <c r="B33" s="324">
        <f>'DOE25'!G477</f>
        <v>-45518.2</v>
      </c>
      <c r="F33" s="321" t="s">
        <v>1616</v>
      </c>
    </row>
    <row r="36" spans="1:6" ht="15" x14ac:dyDescent="0.2">
      <c r="A36" s="321" t="s">
        <v>1602</v>
      </c>
      <c r="B36" s="339">
        <v>4427.3599999999997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40" sqref="B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Unity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487516.91000000003</v>
      </c>
      <c r="C9" s="229">
        <f>'DOE25'!G198+'DOE25'!G216+'DOE25'!G234+'DOE25'!G277+'DOE25'!G296+'DOE25'!G315</f>
        <v>247000.28999999998</v>
      </c>
    </row>
    <row r="10" spans="1:3" x14ac:dyDescent="0.2">
      <c r="A10" t="s">
        <v>775</v>
      </c>
      <c r="B10" s="240">
        <v>487516.91</v>
      </c>
      <c r="C10" s="240">
        <v>247000.29</v>
      </c>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487516.91</v>
      </c>
      <c r="C13" s="231">
        <f>SUM(C10:C12)</f>
        <v>247000.29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133897.37</v>
      </c>
      <c r="C18" s="229">
        <f>'DOE25'!G199+'DOE25'!G217+'DOE25'!G235+'DOE25'!G278+'DOE25'!G297+'DOE25'!G316</f>
        <v>65608.55</v>
      </c>
    </row>
    <row r="19" spans="1:3" x14ac:dyDescent="0.2">
      <c r="A19" t="s">
        <v>775</v>
      </c>
      <c r="B19" s="240">
        <v>57605.75</v>
      </c>
      <c r="C19" s="240">
        <v>9617.5499999999993</v>
      </c>
    </row>
    <row r="20" spans="1:3" x14ac:dyDescent="0.2">
      <c r="A20" t="s">
        <v>776</v>
      </c>
      <c r="B20" s="240">
        <v>76291.62</v>
      </c>
      <c r="C20" s="240">
        <v>55991</v>
      </c>
    </row>
    <row r="21" spans="1:3" x14ac:dyDescent="0.2">
      <c r="A21" t="s">
        <v>777</v>
      </c>
      <c r="B21" s="240"/>
      <c r="C21" s="240"/>
    </row>
    <row r="22" spans="1:3" x14ac:dyDescent="0.2">
      <c r="A22" t="str">
        <f>IF(B18=B22,IF(C18=C22,"Check Total OK","Check Total Error"),"Check Total Error")</f>
        <v>Check Total OK</v>
      </c>
      <c r="B22" s="231">
        <f>SUM(B19:B21)</f>
        <v>133897.37</v>
      </c>
      <c r="C22" s="231">
        <f>SUM(C19:C21)</f>
        <v>65608.55</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3981.25</v>
      </c>
      <c r="C36" s="235">
        <f>'DOE25'!G201+'DOE25'!G219+'DOE25'!G237+'DOE25'!G280+'DOE25'!G299+'DOE25'!G318</f>
        <v>718.03</v>
      </c>
    </row>
    <row r="37" spans="1:3" x14ac:dyDescent="0.2">
      <c r="A37" t="s">
        <v>775</v>
      </c>
      <c r="B37" s="240"/>
      <c r="C37" s="240"/>
    </row>
    <row r="38" spans="1:3" x14ac:dyDescent="0.2">
      <c r="A38" t="s">
        <v>776</v>
      </c>
      <c r="B38" s="240"/>
      <c r="C38" s="240"/>
    </row>
    <row r="39" spans="1:3" x14ac:dyDescent="0.2">
      <c r="A39" t="s">
        <v>777</v>
      </c>
      <c r="B39" s="240">
        <v>3981.25</v>
      </c>
      <c r="C39" s="240">
        <v>718.03</v>
      </c>
    </row>
    <row r="40" spans="1:3" x14ac:dyDescent="0.2">
      <c r="A40" t="str">
        <f>IF(B36=B40,IF(C36=C40,"Check Total OK","Check Total Error"),"Check Total Error")</f>
        <v>Check Total OK</v>
      </c>
      <c r="B40" s="231">
        <f>SUM(B37:B39)</f>
        <v>3981.25</v>
      </c>
      <c r="C40" s="231">
        <f>SUM(C37:C39)</f>
        <v>718.03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Unity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1646357.53</v>
      </c>
      <c r="D5" s="20">
        <f>SUM('DOE25'!L198:L201)+SUM('DOE25'!L216:L219)+SUM('DOE25'!L234:L237)-F5-G5-H5</f>
        <v>1640548.41</v>
      </c>
      <c r="E5" s="243"/>
      <c r="F5" s="244">
        <v>0</v>
      </c>
      <c r="G5" s="53">
        <f>SUM('DOE25'!J198:J201)+SUM('DOE25'!J216:J219)+SUM('DOE25'!J234:J237)</f>
        <v>5809.119999999999</v>
      </c>
      <c r="H5" s="53">
        <f>SUM('DOE25'!K198:K201)+SUM('DOE25'!K216:K219)+SUM('DOE25'!K234:K237)</f>
        <v>0</v>
      </c>
      <c r="I5" s="256"/>
    </row>
    <row r="6" spans="1:9" x14ac:dyDescent="0.2">
      <c r="A6" s="32">
        <v>2100</v>
      </c>
      <c r="B6" t="s">
        <v>796</v>
      </c>
      <c r="C6" s="276">
        <f t="shared" si="0"/>
        <v>31399.8</v>
      </c>
      <c r="D6" s="20">
        <f>'DOE25'!L203+'DOE25'!L221+'DOE25'!L239-F6-G6-H6</f>
        <v>31399.8</v>
      </c>
      <c r="E6" s="243"/>
      <c r="F6" s="244">
        <v>0</v>
      </c>
      <c r="G6" s="53">
        <f>'DOE25'!J203+'DOE25'!J221+'DOE25'!J239</f>
        <v>0</v>
      </c>
      <c r="H6" s="53">
        <f>'DOE25'!K203+'DOE25'!K221+'DOE25'!K239</f>
        <v>0</v>
      </c>
      <c r="I6" s="256"/>
    </row>
    <row r="7" spans="1:9" x14ac:dyDescent="0.2">
      <c r="A7" s="32">
        <v>2200</v>
      </c>
      <c r="B7" t="s">
        <v>821</v>
      </c>
      <c r="C7" s="276">
        <f t="shared" si="0"/>
        <v>101768.28</v>
      </c>
      <c r="D7" s="20">
        <f>'DOE25'!L204+'DOE25'!L222+'DOE25'!L240-F7-G7-H7</f>
        <v>75010.62</v>
      </c>
      <c r="E7" s="243"/>
      <c r="F7" s="244">
        <v>0</v>
      </c>
      <c r="G7" s="53">
        <f>'DOE25'!J204+'DOE25'!J222+'DOE25'!J240</f>
        <v>26757.66</v>
      </c>
      <c r="H7" s="53">
        <f>'DOE25'!K204+'DOE25'!K222+'DOE25'!K240</f>
        <v>0</v>
      </c>
      <c r="I7" s="256"/>
    </row>
    <row r="8" spans="1:9" x14ac:dyDescent="0.2">
      <c r="A8" s="32">
        <v>2300</v>
      </c>
      <c r="B8" t="s">
        <v>797</v>
      </c>
      <c r="C8" s="276">
        <f t="shared" si="0"/>
        <v>117626.50000000003</v>
      </c>
      <c r="D8" s="243"/>
      <c r="E8" s="20">
        <f>'DOE25'!L205+'DOE25'!L223+'DOE25'!L241-F8-G8-H8-D9-D11</f>
        <v>117626.50000000003</v>
      </c>
      <c r="F8" s="244">
        <v>0</v>
      </c>
      <c r="G8" s="53">
        <f>'DOE25'!J205+'DOE25'!J223+'DOE25'!J241</f>
        <v>0</v>
      </c>
      <c r="H8" s="53">
        <f>'DOE25'!K205+'DOE25'!K223+'DOE25'!K241</f>
        <v>0</v>
      </c>
      <c r="I8" s="256"/>
    </row>
    <row r="9" spans="1:9" ht="14.25" x14ac:dyDescent="0.2">
      <c r="A9" s="32">
        <v>2310</v>
      </c>
      <c r="B9" s="185" t="s">
        <v>890</v>
      </c>
      <c r="C9" s="276">
        <f t="shared" si="0"/>
        <v>12597.77</v>
      </c>
      <c r="D9" s="244">
        <v>12597.77</v>
      </c>
      <c r="E9" s="243"/>
      <c r="F9" s="253"/>
      <c r="G9" s="253"/>
      <c r="H9" s="253"/>
      <c r="I9" s="256"/>
    </row>
    <row r="10" spans="1:9" ht="14.25" x14ac:dyDescent="0.2">
      <c r="A10" s="32">
        <v>2317</v>
      </c>
      <c r="B10" s="185" t="s">
        <v>891</v>
      </c>
      <c r="C10" s="276">
        <f t="shared" si="0"/>
        <v>13000</v>
      </c>
      <c r="D10" s="243"/>
      <c r="E10" s="244">
        <v>13000</v>
      </c>
      <c r="F10" s="253"/>
      <c r="G10" s="253"/>
      <c r="H10" s="253"/>
      <c r="I10" s="256"/>
    </row>
    <row r="11" spans="1:9" ht="14.25" x14ac:dyDescent="0.2">
      <c r="A11" s="32">
        <v>2321</v>
      </c>
      <c r="B11" s="185" t="s">
        <v>892</v>
      </c>
      <c r="C11" s="276">
        <f t="shared" si="0"/>
        <v>55533.5</v>
      </c>
      <c r="D11" s="244">
        <v>55533.5</v>
      </c>
      <c r="E11" s="243"/>
      <c r="F11" s="253"/>
      <c r="G11" s="253"/>
      <c r="H11" s="253"/>
      <c r="I11" s="256"/>
    </row>
    <row r="12" spans="1:9" x14ac:dyDescent="0.2">
      <c r="A12" s="32">
        <v>2400</v>
      </c>
      <c r="B12" t="s">
        <v>711</v>
      </c>
      <c r="C12" s="276">
        <f t="shared" si="0"/>
        <v>224680.46000000002</v>
      </c>
      <c r="D12" s="20">
        <f>'DOE25'!L206+'DOE25'!L224+'DOE25'!L242-F12-G12-H12</f>
        <v>181797.27000000002</v>
      </c>
      <c r="E12" s="243"/>
      <c r="F12" s="244">
        <v>0</v>
      </c>
      <c r="G12" s="53">
        <f>'DOE25'!J206+'DOE25'!J224+'DOE25'!J242</f>
        <v>0</v>
      </c>
      <c r="H12" s="53">
        <f>'DOE25'!K206+'DOE25'!K224+'DOE25'!K242</f>
        <v>42883.189999999995</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165103.42000000001</v>
      </c>
      <c r="D14" s="20">
        <f>'DOE25'!L208+'DOE25'!L226+'DOE25'!L244-F14-G14-H14</f>
        <v>165103.42000000001</v>
      </c>
      <c r="E14" s="243"/>
      <c r="F14" s="244">
        <v>0</v>
      </c>
      <c r="G14" s="53">
        <f>'DOE25'!J208+'DOE25'!J226+'DOE25'!J244</f>
        <v>0</v>
      </c>
      <c r="H14" s="53">
        <f>'DOE25'!K208+'DOE25'!K226+'DOE25'!K244</f>
        <v>0</v>
      </c>
      <c r="I14" s="256"/>
    </row>
    <row r="15" spans="1:9" x14ac:dyDescent="0.2">
      <c r="A15" s="32">
        <v>2700</v>
      </c>
      <c r="B15" t="s">
        <v>799</v>
      </c>
      <c r="C15" s="276">
        <f t="shared" si="0"/>
        <v>108662.81</v>
      </c>
      <c r="D15" s="20">
        <f>'DOE25'!L209+'DOE25'!L227+'DOE25'!L245-F15-G15-H15</f>
        <v>78648.91</v>
      </c>
      <c r="E15" s="243"/>
      <c r="F15" s="244">
        <v>0</v>
      </c>
      <c r="G15" s="53">
        <f>'DOE25'!J209+'DOE25'!J227+'DOE25'!J245</f>
        <v>30013.9</v>
      </c>
      <c r="H15" s="53">
        <f>'DOE25'!K209+'DOE25'!K227+'DOE25'!K245</f>
        <v>0</v>
      </c>
      <c r="I15" s="256"/>
    </row>
    <row r="16" spans="1:9" x14ac:dyDescent="0.2">
      <c r="A16" s="32">
        <v>2800</v>
      </c>
      <c r="B16" t="s">
        <v>800</v>
      </c>
      <c r="C16" s="276">
        <f t="shared" si="0"/>
        <v>0</v>
      </c>
      <c r="D16" s="243"/>
      <c r="E16" s="20">
        <f>'DOE25'!L210+'DOE25'!L228+'DOE25'!L246-F16-G16-H16</f>
        <v>0</v>
      </c>
      <c r="F16" s="244">
        <v>0</v>
      </c>
      <c r="G16" s="53">
        <f>'DOE25'!J210+'DOE25'!J228+'DOE25'!J246</f>
        <v>0</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582015.22</v>
      </c>
      <c r="D25" s="243"/>
      <c r="E25" s="243"/>
      <c r="F25" s="255"/>
      <c r="G25" s="253"/>
      <c r="H25" s="253"/>
      <c r="I25" s="254">
        <f>'DOE25'!L261+'DOE25'!L262+'DOE25'!L342+'DOE25'!L343</f>
        <v>582015.22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54271.46</v>
      </c>
      <c r="D29" s="284">
        <f>'DOE25'!L359+'DOE25'!L360+'DOE25'!L361-'DOE25'!I368-F29-G29-H29</f>
        <v>20386.299999999996</v>
      </c>
      <c r="E29" s="243"/>
      <c r="F29" s="244">
        <v>33885.160000000003</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98689.32</v>
      </c>
      <c r="D31" s="20">
        <f>'DOE25'!L291+'DOE25'!L310+'DOE25'!L329+'DOE25'!L334+'DOE25'!L335+'DOE25'!L336-F31-G31-H31</f>
        <v>94676.200000000012</v>
      </c>
      <c r="E31" s="243"/>
      <c r="F31" s="244">
        <v>0</v>
      </c>
      <c r="G31" s="53">
        <f>'DOE25'!J291+'DOE25'!J310+'DOE25'!J329+'DOE25'!J334+'DOE25'!J335+'DOE25'!J336</f>
        <v>1070.18</v>
      </c>
      <c r="H31" s="53">
        <f>'DOE25'!K291+'DOE25'!K310+'DOE25'!K329+'DOE25'!K334+'DOE25'!K335+'DOE25'!K336</f>
        <v>2942.94</v>
      </c>
      <c r="I31" s="256"/>
    </row>
    <row r="32" spans="1:9" ht="12" thickBot="1" x14ac:dyDescent="0.25">
      <c r="C32" s="277"/>
      <c r="G32" s="251"/>
      <c r="H32" s="251"/>
      <c r="I32" s="258"/>
    </row>
    <row r="33" spans="1:9" ht="12" thickTop="1" x14ac:dyDescent="0.2">
      <c r="B33" t="s">
        <v>809</v>
      </c>
      <c r="D33" s="245">
        <f t="shared" ref="D33:I33" si="1">SUM(D5:D31)</f>
        <v>2355702.2000000002</v>
      </c>
      <c r="E33" s="245">
        <f t="shared" si="1"/>
        <v>130626.50000000003</v>
      </c>
      <c r="F33" s="245">
        <f t="shared" si="1"/>
        <v>33885.160000000003</v>
      </c>
      <c r="G33" s="245">
        <f t="shared" si="1"/>
        <v>63650.86</v>
      </c>
      <c r="H33" s="245">
        <f t="shared" si="1"/>
        <v>45826.13</v>
      </c>
      <c r="I33" s="245">
        <f t="shared" si="1"/>
        <v>582015.22</v>
      </c>
    </row>
    <row r="35" spans="1:9" ht="12" thickBot="1" x14ac:dyDescent="0.25">
      <c r="B35" s="251" t="s">
        <v>831</v>
      </c>
      <c r="D35" s="252">
        <f>E33</f>
        <v>130626.50000000003</v>
      </c>
      <c r="E35" s="248"/>
    </row>
    <row r="36" spans="1:9" ht="12" thickTop="1" x14ac:dyDescent="0.2">
      <c r="B36" t="s">
        <v>810</v>
      </c>
      <c r="D36" s="20">
        <f>D33</f>
        <v>2355702.2000000002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C16" sqref="C1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Unity School District</v>
      </c>
      <c r="B2" s="126">
        <f>'DOE25'!B2</f>
        <v>539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1807997.1</v>
      </c>
      <c r="G4" s="303">
        <f>'DOE25'!L212+'DOE25'!L291</f>
        <v>1807997.1</v>
      </c>
      <c r="H4" s="337">
        <f>F4-G4</f>
        <v>0</v>
      </c>
      <c r="I4" s="309" t="str">
        <f>IF(H4=0,"","Does not match DOE25 page 7 and 11 Totals!!")</f>
        <v/>
      </c>
      <c r="N4"/>
    </row>
    <row r="5" spans="1:18" x14ac:dyDescent="0.2">
      <c r="A5" s="21" t="s">
        <v>1458</v>
      </c>
      <c r="B5" s="304">
        <f>IFERROR(VLOOKUP(A5,'School Tables'!$C$3:$D$365,2,FALSE),"")</f>
        <v>20180</v>
      </c>
      <c r="C5" s="297" t="str">
        <f>IFERROR(INDEX('School Tables'!$B$3:$B$365,MATCH('School Level Expenditures'!B5,'School Tables'!$D$3:$D$365,0)),"")</f>
        <v>Unity</v>
      </c>
      <c r="D5" s="294">
        <v>1709307.78</v>
      </c>
      <c r="E5" s="294">
        <v>98689.32</v>
      </c>
      <c r="F5" s="312">
        <f>D5+E5</f>
        <v>1807997.1</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754422.29</v>
      </c>
      <c r="G36" s="303">
        <f>'DOE25'!L248+'DOE25'!L329</f>
        <v>754422.29</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139410</v>
      </c>
      <c r="E37" s="294"/>
      <c r="F37" s="307">
        <f>D37+E37</f>
        <v>139410</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73950</v>
      </c>
      <c r="E38" s="294"/>
      <c r="F38" s="307">
        <f t="shared" ref="F38:F41" si="2">D38+E38</f>
        <v>73950</v>
      </c>
      <c r="G38" s="297"/>
      <c r="H38" s="297"/>
      <c r="I38" s="126"/>
      <c r="N38"/>
    </row>
    <row r="39" spans="1:14" x14ac:dyDescent="0.2">
      <c r="A39" s="21" t="s">
        <v>1562</v>
      </c>
      <c r="B39" s="304">
        <f>IFERROR(VLOOKUP(A39,'School Tables'!$O$3:$P$118,2,FALSE),"")</f>
        <v>99999</v>
      </c>
      <c r="C39" s="297" t="str">
        <f t="array" ref="C39">IFERROR(INDEX('School Tables'!$N$3:$N$118,MATCH('School Level Expenditures'!B39,'School Tables'!$P$3:$P$118,0)),"")</f>
        <v>Other District Expenditures</v>
      </c>
      <c r="D39" s="294">
        <v>451046</v>
      </c>
      <c r="E39" s="294"/>
      <c r="F39" s="307">
        <f t="shared" si="2"/>
        <v>451046</v>
      </c>
      <c r="G39" s="297"/>
      <c r="H39" s="297"/>
      <c r="I39" s="126"/>
      <c r="N39"/>
    </row>
    <row r="40" spans="1:14" x14ac:dyDescent="0.2">
      <c r="A40" s="21" t="s">
        <v>1562</v>
      </c>
      <c r="B40" s="304">
        <f>IFERROR(VLOOKUP(A40,'School Tables'!$O$3:$P$118,2,FALSE),"")</f>
        <v>99999</v>
      </c>
      <c r="C40" s="297" t="str">
        <f t="array" ref="C40">IFERROR(INDEX('School Tables'!$N$3:$N$118,MATCH('School Level Expenditures'!B40,'School Tables'!$P$3:$P$118,0)),"")</f>
        <v>Other District Expenditures</v>
      </c>
      <c r="D40" s="294">
        <v>90016.29</v>
      </c>
      <c r="E40" s="294"/>
      <c r="F40" s="307">
        <f t="shared" si="2"/>
        <v>90016.29</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7" activePane="bottomLeft" state="frozen"/>
      <selection activeCell="F46" sqref="F46"/>
      <selection pane="bottomLeft" activeCell="J56" sqref="J5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Unity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934722.15</v>
      </c>
      <c r="D8" s="95">
        <f>'DOE25'!G9</f>
        <v>0</v>
      </c>
      <c r="E8" s="95">
        <f>'DOE25'!H9</f>
        <v>0</v>
      </c>
      <c r="F8" s="95">
        <f>'DOE25'!I9</f>
        <v>53458.37</v>
      </c>
      <c r="G8" s="95">
        <f>'DOE25'!J9</f>
        <v>62383.840000000004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-57542.68</v>
      </c>
      <c r="E11" s="95">
        <f>'DOE25'!H12</f>
        <v>0</v>
      </c>
      <c r="F11" s="95">
        <f>'DOE25'!I12</f>
        <v>0</v>
      </c>
      <c r="G11" s="95">
        <f>'DOE25'!J12</f>
        <v>0</v>
      </c>
      <c r="H11" s="124"/>
      <c r="I11" s="124"/>
    </row>
    <row r="12" spans="1:9" x14ac:dyDescent="0.2">
      <c r="A12" s="1" t="s">
        <v>143</v>
      </c>
      <c r="B12" s="6">
        <v>140</v>
      </c>
      <c r="C12" s="95">
        <f>'DOE25'!F13</f>
        <v>305921.15999999997</v>
      </c>
      <c r="D12" s="95">
        <f>'DOE25'!G13</f>
        <v>10825.81</v>
      </c>
      <c r="E12" s="95">
        <f>'DOE25'!H13</f>
        <v>89617.42</v>
      </c>
      <c r="F12" s="95">
        <f>'DOE25'!I13</f>
        <v>0</v>
      </c>
      <c r="G12" s="95">
        <f>'DOE25'!J13</f>
        <v>0</v>
      </c>
      <c r="H12" s="124"/>
      <c r="I12" s="124"/>
    </row>
    <row r="13" spans="1:9" x14ac:dyDescent="0.2">
      <c r="A13" s="1" t="s">
        <v>144</v>
      </c>
      <c r="B13" s="6">
        <v>150</v>
      </c>
      <c r="C13" s="95">
        <f>'DOE25'!F14</f>
        <v>-1568.61</v>
      </c>
      <c r="D13" s="95">
        <f>'DOE25'!G14</f>
        <v>1198.67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1377.52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1240452.22</v>
      </c>
      <c r="D18" s="41">
        <f>SUM(D8:D17)</f>
        <v>-45518.200000000004</v>
      </c>
      <c r="E18" s="41">
        <f>SUM(E8:E17)</f>
        <v>89617.42</v>
      </c>
      <c r="F18" s="41">
        <f>SUM(F8:F17)</f>
        <v>53458.37</v>
      </c>
      <c r="G18" s="41">
        <f>SUM(G8:G17)</f>
        <v>62383.840000000004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140286.81</v>
      </c>
      <c r="D21" s="95">
        <f>'DOE25'!G22</f>
        <v>0</v>
      </c>
      <c r="E21" s="95">
        <f>'DOE25'!H22</f>
        <v>25775.55</v>
      </c>
      <c r="F21" s="95">
        <f>'DOE25'!I22</f>
        <v>39137.26</v>
      </c>
      <c r="G21" s="95">
        <f>'DOE25'!J22</f>
        <v>0</v>
      </c>
      <c r="H21" s="124"/>
      <c r="I21" s="124"/>
    </row>
    <row r="22" spans="1:9" x14ac:dyDescent="0.2">
      <c r="A22" s="1" t="s">
        <v>151</v>
      </c>
      <c r="B22" s="6">
        <v>410</v>
      </c>
      <c r="C22" s="95">
        <f>'DOE25'!F23</f>
        <v>562861.97</v>
      </c>
      <c r="D22" s="95">
        <f>'DOE25'!G23</f>
        <v>0</v>
      </c>
      <c r="E22" s="95">
        <f>'DOE25'!H23</f>
        <v>2383.94</v>
      </c>
      <c r="F22" s="95">
        <f>'DOE25'!I23</f>
        <v>0</v>
      </c>
      <c r="G22" s="95">
        <f>'DOE25'!J23</f>
        <v>0</v>
      </c>
      <c r="H22" s="124"/>
      <c r="I22" s="124"/>
    </row>
    <row r="23" spans="1:9" x14ac:dyDescent="0.2">
      <c r="A23" s="1" t="s">
        <v>152</v>
      </c>
      <c r="B23" s="6">
        <v>420</v>
      </c>
      <c r="C23" s="95">
        <f>'DOE25'!F24</f>
        <v>90874.93</v>
      </c>
      <c r="D23" s="95">
        <f>'DOE25'!G24</f>
        <v>0</v>
      </c>
      <c r="E23" s="95">
        <f>'DOE25'!H24</f>
        <v>77759.97</v>
      </c>
      <c r="F23" s="95">
        <f>'DOE25'!I24</f>
        <v>1682.25</v>
      </c>
      <c r="G23" s="95">
        <f>'DOE25'!J24</f>
        <v>0</v>
      </c>
      <c r="H23" s="124"/>
      <c r="I23" s="124"/>
    </row>
    <row r="24" spans="1:9" x14ac:dyDescent="0.2">
      <c r="A24" s="1" t="s">
        <v>153</v>
      </c>
      <c r="B24" s="6">
        <v>430</v>
      </c>
      <c r="C24" s="95">
        <f>'DOE25'!F25</f>
        <v>2047.9599999999966</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1436.96</v>
      </c>
      <c r="D30" s="95">
        <f>'DOE25'!G31</f>
        <v>0</v>
      </c>
      <c r="E30" s="95">
        <f>'DOE25'!H31</f>
        <v>0</v>
      </c>
      <c r="F30" s="95">
        <f>'DOE25'!I31</f>
        <v>0</v>
      </c>
      <c r="G30" s="95">
        <f>'DOE25'!J31</f>
        <v>0</v>
      </c>
      <c r="H30" s="124"/>
      <c r="I30" s="124"/>
    </row>
    <row r="31" spans="1:9" ht="12" thickTop="1" x14ac:dyDescent="0.2">
      <c r="A31" s="38" t="s">
        <v>160</v>
      </c>
      <c r="B31" s="2"/>
      <c r="C31" s="41">
        <f>SUM(C21:C30)</f>
        <v>797508.62999999989</v>
      </c>
      <c r="D31" s="41">
        <f>SUM(D21:D30)</f>
        <v>0</v>
      </c>
      <c r="E31" s="41">
        <f>SUM(E21:E30)</f>
        <v>105919.45999999999</v>
      </c>
      <c r="F31" s="41">
        <f>SUM(F21:F30)</f>
        <v>40819.51</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42944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-45518.2</v>
      </c>
      <c r="E47" s="95">
        <f>'DOE25'!H48</f>
        <v>-16302.04</v>
      </c>
      <c r="F47" s="95">
        <f>'DOE25'!I48</f>
        <v>12638.86</v>
      </c>
      <c r="G47" s="95">
        <f>'DOE25'!J48</f>
        <v>62383.840000000004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399999.59</v>
      </c>
      <c r="D49" s="24" t="s">
        <v>288</v>
      </c>
      <c r="E49" s="24" t="s">
        <v>288</v>
      </c>
      <c r="F49" s="24" t="s">
        <v>288</v>
      </c>
      <c r="G49" s="24" t="s">
        <v>288</v>
      </c>
      <c r="H49" s="124"/>
      <c r="I49" s="124"/>
    </row>
    <row r="50" spans="1:9" ht="12.75" thickTop="1" thickBot="1" x14ac:dyDescent="0.25">
      <c r="A50" s="38" t="s">
        <v>884</v>
      </c>
      <c r="B50" s="48"/>
      <c r="C50" s="41">
        <f>SUM(C34:C49)</f>
        <v>442943.59</v>
      </c>
      <c r="D50" s="41">
        <f>SUM(D34:D49)</f>
        <v>-45518.2</v>
      </c>
      <c r="E50" s="41">
        <f>SUM(E34:E49)</f>
        <v>-16302.04</v>
      </c>
      <c r="F50" s="41">
        <f>SUM(F34:F49)</f>
        <v>12638.86</v>
      </c>
      <c r="G50" s="41">
        <f>SUM(G34:G49)</f>
        <v>62383.840000000004</v>
      </c>
      <c r="H50" s="124"/>
      <c r="I50" s="124"/>
    </row>
    <row r="51" spans="1:9" ht="12" thickTop="1" x14ac:dyDescent="0.2">
      <c r="A51" s="38" t="s">
        <v>885</v>
      </c>
      <c r="B51" s="2"/>
      <c r="C51" s="41">
        <f>C50+C31</f>
        <v>1240452.22</v>
      </c>
      <c r="D51" s="41">
        <f>D50+D31</f>
        <v>-45518.2</v>
      </c>
      <c r="E51" s="41">
        <f>E50+E31</f>
        <v>89617.419999999984</v>
      </c>
      <c r="F51" s="41">
        <f>F50+F31</f>
        <v>53458.37</v>
      </c>
      <c r="G51" s="41">
        <f>G50+G31</f>
        <v>62383.840000000004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2013300</v>
      </c>
      <c r="D56" s="95">
        <f>'DOE25'!G60</f>
        <v>0</v>
      </c>
      <c r="E56" s="95">
        <f>'DOE25'!H60</f>
        <v>0</v>
      </c>
      <c r="F56" s="95">
        <f>'DOE25'!I60</f>
        <v>0</v>
      </c>
      <c r="G56" s="95">
        <f>'DOE25'!J60</f>
        <v>0</v>
      </c>
      <c r="H56"/>
      <c r="I56"/>
    </row>
    <row r="57" spans="1:9" x14ac:dyDescent="0.2">
      <c r="A57" s="1" t="s">
        <v>164</v>
      </c>
      <c r="B57" s="6" t="s">
        <v>165</v>
      </c>
      <c r="C57" s="95">
        <f>'DOE25'!F79</f>
        <v>44954.5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4482.84</v>
      </c>
      <c r="D59" s="95">
        <f>'DOE25'!G96</f>
        <v>0</v>
      </c>
      <c r="E59" s="95">
        <f>'DOE25'!H96</f>
        <v>0</v>
      </c>
      <c r="F59" s="95">
        <f>'DOE25'!I96</f>
        <v>0</v>
      </c>
      <c r="G59" s="95">
        <f>'DOE25'!J96</f>
        <v>816.65</v>
      </c>
      <c r="H59"/>
      <c r="I59"/>
    </row>
    <row r="60" spans="1:9" x14ac:dyDescent="0.2">
      <c r="A60" s="1" t="s">
        <v>170</v>
      </c>
      <c r="B60" s="118" t="s">
        <v>171</v>
      </c>
      <c r="C60" s="24" t="s">
        <v>288</v>
      </c>
      <c r="D60" s="95">
        <f>'DOE25'!G97</f>
        <v>3699.63</v>
      </c>
      <c r="E60" s="24" t="s">
        <v>288</v>
      </c>
      <c r="F60" s="24" t="s">
        <v>288</v>
      </c>
      <c r="G60" s="24" t="s">
        <v>288</v>
      </c>
      <c r="H60"/>
      <c r="I60"/>
    </row>
    <row r="61" spans="1:9" ht="12" thickBot="1" x14ac:dyDescent="0.25">
      <c r="A61" s="1" t="s">
        <v>172</v>
      </c>
      <c r="B61" s="118" t="s">
        <v>173</v>
      </c>
      <c r="C61" s="95">
        <f>SUM('DOE25'!F98:F110)</f>
        <v>62.1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49499.439999999995</v>
      </c>
      <c r="D62" s="130">
        <f>SUM(D57:D61)</f>
        <v>3699.63</v>
      </c>
      <c r="E62" s="130">
        <f>SUM(E57:E61)</f>
        <v>0</v>
      </c>
      <c r="F62" s="130">
        <f>SUM(F57:F61)</f>
        <v>0</v>
      </c>
      <c r="G62" s="130">
        <f>SUM(G57:G61)</f>
        <v>816.65</v>
      </c>
      <c r="H62"/>
      <c r="I62"/>
    </row>
    <row r="63" spans="1:9" ht="12" thickTop="1" x14ac:dyDescent="0.2">
      <c r="A63" s="29" t="s">
        <v>175</v>
      </c>
      <c r="B63" s="6"/>
      <c r="C63" s="22">
        <f>C56+C62</f>
        <v>2062799.44</v>
      </c>
      <c r="D63" s="22">
        <f>D56+D62</f>
        <v>3699.63</v>
      </c>
      <c r="E63" s="22">
        <f>E56+E62</f>
        <v>0</v>
      </c>
      <c r="F63" s="22">
        <f>F56+F62</f>
        <v>0</v>
      </c>
      <c r="G63" s="22">
        <f>G56+G62</f>
        <v>816.65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890140.81</v>
      </c>
      <c r="D66" s="24" t="s">
        <v>288</v>
      </c>
      <c r="E66" s="24" t="s">
        <v>288</v>
      </c>
      <c r="F66" s="24" t="s">
        <v>288</v>
      </c>
      <c r="G66" s="24" t="s">
        <v>288</v>
      </c>
      <c r="H66"/>
      <c r="I66"/>
    </row>
    <row r="67" spans="1:9" x14ac:dyDescent="0.2">
      <c r="A67" s="1" t="s">
        <v>770</v>
      </c>
      <c r="B67" s="6">
        <v>3112</v>
      </c>
      <c r="C67" s="95">
        <f>'DOE25'!F118</f>
        <v>250832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1140972.81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152006.96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56369.34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18.809999999999999</v>
      </c>
      <c r="E77" s="95">
        <f>SUM('DOE25'!H131:H135)</f>
        <v>0</v>
      </c>
      <c r="F77" s="95">
        <f>SUM('DOE25'!I131:I135)</f>
        <v>0</v>
      </c>
      <c r="G77" s="95">
        <f>SUM('DOE25'!J131:J135)</f>
        <v>0</v>
      </c>
      <c r="H77"/>
      <c r="I77"/>
    </row>
    <row r="78" spans="1:9" ht="12.75" thickTop="1" thickBot="1" x14ac:dyDescent="0.25">
      <c r="A78" s="29" t="s">
        <v>259</v>
      </c>
      <c r="B78" s="6"/>
      <c r="C78" s="130">
        <f>SUM(C72:C77)</f>
        <v>208376.3</v>
      </c>
      <c r="D78" s="130">
        <f>SUM(D72:D77)</f>
        <v>18.809999999999999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1349349.11</v>
      </c>
      <c r="D81" s="130">
        <f>SUM(D79:D80)+D78+D70</f>
        <v>18.809999999999999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10183.450000000001</v>
      </c>
      <c r="D88" s="341">
        <f>SUM('DOE25'!G153:G162)</f>
        <v>6292.54</v>
      </c>
      <c r="E88" s="341">
        <f>SUM('DOE25'!H153:H162)</f>
        <v>99978.3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10183.450000000001</v>
      </c>
      <c r="D91" s="131">
        <f>SUM(D85:D90)</f>
        <v>6292.54</v>
      </c>
      <c r="E91" s="131">
        <f>SUM(E85:E90)</f>
        <v>99978.3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10602.22</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10602.22</v>
      </c>
      <c r="E103" s="86">
        <f>SUM(E93:E102)</f>
        <v>0</v>
      </c>
      <c r="F103" s="86">
        <f>SUM(F93:F102)</f>
        <v>0</v>
      </c>
      <c r="G103" s="86">
        <f>SUM(G93:G102)</f>
        <v>20000</v>
      </c>
    </row>
    <row r="104" spans="1:7" ht="12.75" thickTop="1" thickBot="1" x14ac:dyDescent="0.25">
      <c r="A104" s="33" t="s">
        <v>761</v>
      </c>
      <c r="C104" s="86">
        <f>C63+C81+C91+C103</f>
        <v>3422332</v>
      </c>
      <c r="D104" s="86">
        <f>D63+D81+D91+D103</f>
        <v>20613.199999999997</v>
      </c>
      <c r="E104" s="86">
        <f>E63+E81+E91+E103</f>
        <v>99978.3</v>
      </c>
      <c r="F104" s="86">
        <f>F63+F81+F91+F103</f>
        <v>0</v>
      </c>
      <c r="G104" s="86">
        <f>G63+G81+G103</f>
        <v>20816.650000000001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1414310.22</v>
      </c>
      <c r="D109" s="24" t="s">
        <v>288</v>
      </c>
      <c r="E109" s="95">
        <f>('DOE25'!L277)+('DOE25'!L296)+('DOE25'!L315)</f>
        <v>32054.260000000002</v>
      </c>
      <c r="F109" s="24" t="s">
        <v>288</v>
      </c>
      <c r="G109" s="24" t="s">
        <v>288</v>
      </c>
    </row>
    <row r="110" spans="1:7" x14ac:dyDescent="0.2">
      <c r="A110" t="s">
        <v>198</v>
      </c>
      <c r="B110" s="32" t="s">
        <v>199</v>
      </c>
      <c r="C110" s="95">
        <f>('DOE25'!L199)+('DOE25'!L217)+('DOE25'!L235)</f>
        <v>229547.74000000002</v>
      </c>
      <c r="D110" s="24" t="s">
        <v>288</v>
      </c>
      <c r="E110" s="95">
        <f>('DOE25'!L278)+('DOE25'!L297)+('DOE25'!L316)</f>
        <v>43326.61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2499.5700000000002</v>
      </c>
      <c r="D112" s="24" t="s">
        <v>288</v>
      </c>
      <c r="E112" s="95">
        <f>+('DOE25'!L280)+('DOE25'!L299)+('DOE25'!L318)</f>
        <v>2199.71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1646357.53</v>
      </c>
      <c r="D115" s="86">
        <f>SUM(D109:D114)</f>
        <v>0</v>
      </c>
      <c r="E115" s="86">
        <f>SUM(E109:E114)</f>
        <v>77580.58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31399.8</v>
      </c>
      <c r="D118" s="24" t="s">
        <v>288</v>
      </c>
      <c r="E118" s="95">
        <f>+('DOE25'!L282)+('DOE25'!L301)+('DOE25'!L320)</f>
        <v>0</v>
      </c>
      <c r="F118" s="24" t="s">
        <v>288</v>
      </c>
      <c r="G118" s="24" t="s">
        <v>288</v>
      </c>
    </row>
    <row r="119" spans="1:7" x14ac:dyDescent="0.2">
      <c r="A119" t="s">
        <v>208</v>
      </c>
      <c r="B119" s="32" t="s">
        <v>209</v>
      </c>
      <c r="C119" s="95">
        <f>('DOE25'!L204)+('DOE25'!L222)+('DOE25'!L240)</f>
        <v>101768.28</v>
      </c>
      <c r="D119" s="24" t="s">
        <v>288</v>
      </c>
      <c r="E119" s="95">
        <f>+('DOE25'!L283)+('DOE25'!L302)+('DOE25'!L321)</f>
        <v>18165.8</v>
      </c>
      <c r="F119" s="24" t="s">
        <v>288</v>
      </c>
      <c r="G119" s="24" t="s">
        <v>288</v>
      </c>
    </row>
    <row r="120" spans="1:7" x14ac:dyDescent="0.2">
      <c r="A120" t="s">
        <v>210</v>
      </c>
      <c r="B120" s="32" t="s">
        <v>211</v>
      </c>
      <c r="C120" s="95">
        <f>('DOE25'!L205)+('DOE25'!L223)+('DOE25'!L241)</f>
        <v>185757.77000000002</v>
      </c>
      <c r="D120" s="24" t="s">
        <v>288</v>
      </c>
      <c r="E120" s="95">
        <f>+('DOE25'!L284)+('DOE25'!L303)+('DOE25'!L322)</f>
        <v>0</v>
      </c>
      <c r="F120" s="24" t="s">
        <v>288</v>
      </c>
      <c r="G120" s="24" t="s">
        <v>288</v>
      </c>
    </row>
    <row r="121" spans="1:7" x14ac:dyDescent="0.2">
      <c r="A121" t="s">
        <v>212</v>
      </c>
      <c r="B121" s="32" t="s">
        <v>213</v>
      </c>
      <c r="C121" s="95">
        <f>('DOE25'!L206)+('DOE25'!L224)+('DOE25'!L242)</f>
        <v>224680.46000000002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2942.94</v>
      </c>
      <c r="F122" s="24" t="s">
        <v>288</v>
      </c>
      <c r="G122" s="24" t="s">
        <v>288</v>
      </c>
    </row>
    <row r="123" spans="1:7" x14ac:dyDescent="0.2">
      <c r="A123" t="s">
        <v>216</v>
      </c>
      <c r="B123" s="32" t="s">
        <v>217</v>
      </c>
      <c r="C123" s="95">
        <f>('DOE25'!L208)+('DOE25'!L226)+('DOE25'!L244)</f>
        <v>165103.42000000001</v>
      </c>
      <c r="D123" s="24" t="s">
        <v>288</v>
      </c>
      <c r="E123" s="95">
        <f>+('DOE25'!L287)+('DOE25'!L306)+('DOE25'!L325)</f>
        <v>0</v>
      </c>
      <c r="F123" s="24" t="s">
        <v>288</v>
      </c>
      <c r="G123" s="24" t="s">
        <v>288</v>
      </c>
    </row>
    <row r="124" spans="1:7" x14ac:dyDescent="0.2">
      <c r="A124" t="s">
        <v>218</v>
      </c>
      <c r="B124" s="32" t="s">
        <v>219</v>
      </c>
      <c r="C124" s="95">
        <f>('DOE25'!L209)+('DOE25'!L227)+('DOE25'!L245+'DOE25'!L255)</f>
        <v>108662.81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54271.46</v>
      </c>
      <c r="E127" s="24" t="s">
        <v>288</v>
      </c>
      <c r="F127" s="24" t="s">
        <v>288</v>
      </c>
      <c r="G127" s="24" t="s">
        <v>288</v>
      </c>
    </row>
    <row r="128" spans="1:7" ht="12.75" thickTop="1" thickBot="1" x14ac:dyDescent="0.25">
      <c r="A128" s="33" t="s">
        <v>226</v>
      </c>
      <c r="C128" s="86">
        <f>SUM(C118:C127)</f>
        <v>817372.54</v>
      </c>
      <c r="D128" s="86">
        <f>SUM(D118:D127)</f>
        <v>54271.46</v>
      </c>
      <c r="E128" s="86">
        <f>SUM(E118:E127)</f>
        <v>21108.739999999998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395971.53</v>
      </c>
      <c r="D131" s="24" t="s">
        <v>288</v>
      </c>
      <c r="E131" s="129">
        <f>'DOE25'!L342</f>
        <v>0</v>
      </c>
      <c r="F131" s="24" t="s">
        <v>288</v>
      </c>
      <c r="G131" s="24" t="s">
        <v>288</v>
      </c>
    </row>
    <row r="132" spans="1:7" x14ac:dyDescent="0.2">
      <c r="A132" t="s">
        <v>230</v>
      </c>
      <c r="B132" s="32">
        <v>5120</v>
      </c>
      <c r="C132" s="95">
        <f>'DOE25'!L262</f>
        <v>186043.69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10602.22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5658.92</v>
      </c>
      <c r="D138" s="24" t="s">
        <v>288</v>
      </c>
      <c r="E138" s="24" t="s">
        <v>288</v>
      </c>
      <c r="F138" s="24" t="s">
        <v>288</v>
      </c>
      <c r="G138" s="24" t="s">
        <v>288</v>
      </c>
    </row>
    <row r="139" spans="1:7" x14ac:dyDescent="0.2">
      <c r="A139" t="s">
        <v>239</v>
      </c>
      <c r="B139" s="32">
        <v>5252</v>
      </c>
      <c r="C139" s="95">
        <f>'DOE25'!L402</f>
        <v>15077.68</v>
      </c>
      <c r="D139" s="24" t="s">
        <v>288</v>
      </c>
      <c r="E139" s="24" t="s">
        <v>288</v>
      </c>
      <c r="F139" s="24" t="s">
        <v>288</v>
      </c>
      <c r="G139" s="24" t="s">
        <v>288</v>
      </c>
    </row>
    <row r="140" spans="1:7" x14ac:dyDescent="0.2">
      <c r="A140" t="s">
        <v>240</v>
      </c>
      <c r="B140" s="32">
        <v>5253</v>
      </c>
      <c r="C140" s="95">
        <f>'DOE25'!L408</f>
        <v>80.05</v>
      </c>
      <c r="D140" s="24" t="s">
        <v>288</v>
      </c>
      <c r="E140" s="24" t="s">
        <v>288</v>
      </c>
      <c r="F140" s="24" t="s">
        <v>288</v>
      </c>
      <c r="G140" s="24" t="s">
        <v>288</v>
      </c>
    </row>
    <row r="141" spans="1:7" x14ac:dyDescent="0.2">
      <c r="A141" t="s">
        <v>762</v>
      </c>
      <c r="B141" s="32">
        <v>5254</v>
      </c>
      <c r="C141" s="95">
        <f>('DOE25'!L267+'DOE25'!K348) - (C138+C139+C140)</f>
        <v>-816.64999999999782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612617.44000000006</v>
      </c>
      <c r="D144" s="141">
        <f>SUM(D130:D143)</f>
        <v>0</v>
      </c>
      <c r="E144" s="141">
        <f>SUM(E130:E143)</f>
        <v>0</v>
      </c>
      <c r="F144" s="141">
        <f>SUM(F130:F143)</f>
        <v>0</v>
      </c>
      <c r="G144" s="141">
        <f>SUM(G130:G143)</f>
        <v>0</v>
      </c>
    </row>
    <row r="145" spans="1:9" ht="12.75" thickTop="1" thickBot="1" x14ac:dyDescent="0.25">
      <c r="A145" s="33" t="s">
        <v>244</v>
      </c>
      <c r="C145" s="86">
        <f>(C115+C128+C144)</f>
        <v>3076347.5100000002</v>
      </c>
      <c r="D145" s="86">
        <f>(D115+D128+D144)</f>
        <v>54271.46</v>
      </c>
      <c r="E145" s="86">
        <f>(E115+E128+E144)</f>
        <v>98689.32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20</v>
      </c>
      <c r="F151" s="153">
        <f>'DOE25'!J491</f>
        <v>0</v>
      </c>
      <c r="G151" s="24" t="s">
        <v>288</v>
      </c>
    </row>
    <row r="152" spans="1:9" x14ac:dyDescent="0.2">
      <c r="A152" s="136" t="s">
        <v>28</v>
      </c>
      <c r="B152" s="152" t="str">
        <f>'DOE25'!F492</f>
        <v>07/12</v>
      </c>
      <c r="C152" s="152" t="str">
        <f>'DOE25'!G492</f>
        <v>07/13</v>
      </c>
      <c r="D152" s="152">
        <f>'DOE25'!H492</f>
        <v>0.6428571428571429</v>
      </c>
      <c r="E152" s="152">
        <f>'DOE25'!I492</f>
        <v>0.5</v>
      </c>
      <c r="F152" s="152">
        <f>'DOE25'!J492</f>
        <v>0</v>
      </c>
      <c r="G152" s="24" t="s">
        <v>288</v>
      </c>
    </row>
    <row r="153" spans="1:9" x14ac:dyDescent="0.2">
      <c r="A153" s="136" t="s">
        <v>29</v>
      </c>
      <c r="B153" s="152" t="str">
        <f>'DOE25'!F493</f>
        <v>08/32</v>
      </c>
      <c r="C153" s="152" t="str">
        <f>'DOE25'!G493</f>
        <v>07/33</v>
      </c>
      <c r="D153" s="152">
        <f>'DOE25'!H493</f>
        <v>0.26470588235294118</v>
      </c>
      <c r="E153" s="152">
        <f>'DOE25'!I493</f>
        <v>0.20588235294117646</v>
      </c>
      <c r="F153" s="152">
        <f>'DOE25'!J493</f>
        <v>0</v>
      </c>
      <c r="G153" s="24" t="s">
        <v>288</v>
      </c>
    </row>
    <row r="154" spans="1:9" x14ac:dyDescent="0.2">
      <c r="A154" s="136" t="s">
        <v>30</v>
      </c>
      <c r="B154" s="137">
        <f>'DOE25'!F494</f>
        <v>4571850</v>
      </c>
      <c r="C154" s="137">
        <f>'DOE25'!G494</f>
        <v>550000</v>
      </c>
      <c r="D154" s="137">
        <f>'DOE25'!H494</f>
        <v>738629</v>
      </c>
      <c r="E154" s="137">
        <f>'DOE25'!I494</f>
        <v>1840000</v>
      </c>
      <c r="F154" s="137">
        <f>'DOE25'!J494</f>
        <v>0</v>
      </c>
      <c r="G154" s="24" t="s">
        <v>288</v>
      </c>
    </row>
    <row r="155" spans="1:9" x14ac:dyDescent="0.2">
      <c r="A155" s="136" t="s">
        <v>31</v>
      </c>
      <c r="B155" s="137">
        <f>'DOE25'!F495</f>
        <v>3.2</v>
      </c>
      <c r="C155" s="137">
        <f>'DOE25'!G495</f>
        <v>3.25</v>
      </c>
      <c r="D155" s="137">
        <f>'DOE25'!H495</f>
        <v>3.25</v>
      </c>
      <c r="E155" s="137">
        <f>'DOE25'!I495</f>
        <v>3.2534000000000001</v>
      </c>
      <c r="F155" s="137">
        <f>'DOE25'!J495</f>
        <v>0</v>
      </c>
      <c r="G155" s="24" t="s">
        <v>288</v>
      </c>
    </row>
    <row r="156" spans="1:9" x14ac:dyDescent="0.2">
      <c r="A156" s="22" t="s">
        <v>32</v>
      </c>
      <c r="B156" s="137">
        <f>'DOE25'!F496</f>
        <v>3190000</v>
      </c>
      <c r="C156" s="137">
        <f>'DOE25'!G496</f>
        <v>412500</v>
      </c>
      <c r="D156" s="137">
        <f>'DOE25'!H496</f>
        <v>389385.08</v>
      </c>
      <c r="E156" s="137">
        <f>'DOE25'!I496</f>
        <v>1555000</v>
      </c>
      <c r="F156" s="137">
        <f>'DOE25'!J496</f>
        <v>0</v>
      </c>
      <c r="G156" s="138">
        <f>SUM(B156:F156)</f>
        <v>5546885.0800000001</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230000</v>
      </c>
      <c r="C158" s="137">
        <f>'DOE25'!G498</f>
        <v>27500</v>
      </c>
      <c r="D158" s="137">
        <f>'DOE25'!H498</f>
        <v>36931.449999999997</v>
      </c>
      <c r="E158" s="137">
        <f>'DOE25'!I498</f>
        <v>95000</v>
      </c>
      <c r="F158" s="137">
        <f>'DOE25'!J498</f>
        <v>0</v>
      </c>
      <c r="G158" s="138">
        <f t="shared" si="0"/>
        <v>389431.45</v>
      </c>
    </row>
    <row r="159" spans="1:9" x14ac:dyDescent="0.2">
      <c r="A159" s="22" t="s">
        <v>35</v>
      </c>
      <c r="B159" s="137">
        <f>'DOE25'!F499</f>
        <v>3190000</v>
      </c>
      <c r="C159" s="137">
        <f>'DOE25'!G499</f>
        <v>440000</v>
      </c>
      <c r="D159" s="137">
        <f>'DOE25'!H499</f>
        <v>426316.53</v>
      </c>
      <c r="E159" s="137">
        <f>'DOE25'!I499</f>
        <v>1460000</v>
      </c>
      <c r="F159" s="137">
        <f>'DOE25'!J499</f>
        <v>0</v>
      </c>
      <c r="G159" s="138">
        <f t="shared" si="0"/>
        <v>5516316.5300000003</v>
      </c>
    </row>
    <row r="160" spans="1:9" x14ac:dyDescent="0.2">
      <c r="A160" s="22" t="s">
        <v>36</v>
      </c>
      <c r="B160" s="137">
        <f>'DOE25'!F500</f>
        <v>673397</v>
      </c>
      <c r="C160" s="137">
        <f>'DOE25'!G500</f>
        <v>51085.15</v>
      </c>
      <c r="D160" s="137">
        <f>'DOE25'!H500</f>
        <v>62454.18</v>
      </c>
      <c r="E160" s="137">
        <f>'DOE25'!I500</f>
        <v>446158</v>
      </c>
      <c r="F160" s="137">
        <f>'DOE25'!J500</f>
        <v>0</v>
      </c>
      <c r="G160" s="138">
        <f t="shared" si="0"/>
        <v>1233094.33</v>
      </c>
    </row>
    <row r="161" spans="1:7" x14ac:dyDescent="0.2">
      <c r="A161" s="22" t="s">
        <v>37</v>
      </c>
      <c r="B161" s="137">
        <f>'DOE25'!F501</f>
        <v>3863397</v>
      </c>
      <c r="C161" s="137">
        <f>'DOE25'!G501</f>
        <v>491085.15</v>
      </c>
      <c r="D161" s="137">
        <f>'DOE25'!H501</f>
        <v>488770.71</v>
      </c>
      <c r="E161" s="137">
        <f>'DOE25'!I501</f>
        <v>1906158</v>
      </c>
      <c r="F161" s="137">
        <f>'DOE25'!J501</f>
        <v>0</v>
      </c>
      <c r="G161" s="138">
        <f t="shared" si="0"/>
        <v>6749410.8600000003</v>
      </c>
    </row>
    <row r="162" spans="1:7" x14ac:dyDescent="0.2">
      <c r="A162" s="22" t="s">
        <v>38</v>
      </c>
      <c r="B162" s="137">
        <f>'DOE25'!F502</f>
        <v>230000</v>
      </c>
      <c r="C162" s="137">
        <f>'DOE25'!G502</f>
        <v>55000</v>
      </c>
      <c r="D162" s="137">
        <f>'DOE25'!H502</f>
        <v>36931.449999999997</v>
      </c>
      <c r="E162" s="137">
        <f>'DOE25'!I502</f>
        <v>95000</v>
      </c>
      <c r="F162" s="137">
        <f>'DOE25'!J502</f>
        <v>0</v>
      </c>
      <c r="G162" s="138">
        <f t="shared" si="0"/>
        <v>416931.45</v>
      </c>
    </row>
    <row r="163" spans="1:7" x14ac:dyDescent="0.2">
      <c r="A163" s="22" t="s">
        <v>39</v>
      </c>
      <c r="B163" s="137">
        <f>'DOE25'!F503</f>
        <v>104068.76</v>
      </c>
      <c r="C163" s="137">
        <f>'DOE25'!G503</f>
        <v>11694.33</v>
      </c>
      <c r="D163" s="137">
        <f>'DOE25'!H503</f>
        <v>9953.09</v>
      </c>
      <c r="E163" s="137">
        <f>'DOE25'!I503</f>
        <v>56392.5</v>
      </c>
      <c r="F163" s="137">
        <f>'DOE25'!J503</f>
        <v>0</v>
      </c>
      <c r="G163" s="138">
        <f t="shared" si="0"/>
        <v>182108.68</v>
      </c>
    </row>
    <row r="164" spans="1:7" x14ac:dyDescent="0.2">
      <c r="A164" s="22" t="s">
        <v>246</v>
      </c>
      <c r="B164" s="137">
        <f>'DOE25'!F504</f>
        <v>334068.76</v>
      </c>
      <c r="C164" s="137">
        <f>'DOE25'!G504</f>
        <v>66694.33</v>
      </c>
      <c r="D164" s="137">
        <f>'DOE25'!H504</f>
        <v>46884.539999999994</v>
      </c>
      <c r="E164" s="137">
        <f>'DOE25'!I504</f>
        <v>151392.5</v>
      </c>
      <c r="F164" s="137">
        <f>'DOE25'!J504</f>
        <v>0</v>
      </c>
      <c r="G164" s="138">
        <f t="shared" si="0"/>
        <v>599040.13</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Unity School District</v>
      </c>
    </row>
    <row r="3" spans="1:4" x14ac:dyDescent="0.2">
      <c r="B3" s="188" t="s">
        <v>1587</v>
      </c>
    </row>
    <row r="4" spans="1:4" x14ac:dyDescent="0.2">
      <c r="B4" t="s">
        <v>61</v>
      </c>
      <c r="C4" s="179">
        <f>IF('DOE25'!F666+'DOE25'!F671=0,0,ROUND('DOE25'!F673,0))</f>
        <v>19393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19393</v>
      </c>
    </row>
    <row r="9" spans="1:4" x14ac:dyDescent="0.2">
      <c r="A9" s="187" t="s">
        <v>94</v>
      </c>
      <c r="B9" s="188" t="s">
        <v>1588</v>
      </c>
      <c r="C9" s="181" t="s">
        <v>720</v>
      </c>
      <c r="D9" s="181" t="s">
        <v>721</v>
      </c>
    </row>
    <row r="10" spans="1:4" x14ac:dyDescent="0.2">
      <c r="A10">
        <v>1100</v>
      </c>
      <c r="B10" t="s">
        <v>702</v>
      </c>
      <c r="C10" s="179">
        <f>ROUND('DOE25'!L198+'DOE25'!L216+'DOE25'!L234+'DOE25'!L277+'DOE25'!L296+'DOE25'!L315,0)</f>
        <v>1446364</v>
      </c>
      <c r="D10" s="182">
        <f>ROUND((C10/$C$28)*100,1)</f>
        <v>51.7</v>
      </c>
    </row>
    <row r="11" spans="1:4" x14ac:dyDescent="0.2">
      <c r="A11">
        <v>1200</v>
      </c>
      <c r="B11" t="s">
        <v>703</v>
      </c>
      <c r="C11" s="179">
        <f>ROUND('DOE25'!L199+'DOE25'!L217+'DOE25'!L235+'DOE25'!L278+'DOE25'!L297+'DOE25'!L316,0)</f>
        <v>272874</v>
      </c>
      <c r="D11" s="182">
        <f>ROUND((C11/$C$28)*100,1)</f>
        <v>9.6999999999999993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4699</v>
      </c>
      <c r="D13" s="182">
        <f>ROUND((C13/$C$28)*100,1)</f>
        <v>0.2</v>
      </c>
    </row>
    <row r="14" spans="1:4" x14ac:dyDescent="0.2">
      <c r="D14" s="182"/>
    </row>
    <row r="15" spans="1:4" x14ac:dyDescent="0.2">
      <c r="A15">
        <v>2100</v>
      </c>
      <c r="B15" t="s">
        <v>706</v>
      </c>
      <c r="C15" s="179">
        <f>ROUND('DOE25'!L203+'DOE25'!L221+'DOE25'!L239+'DOE25'!L282+'DOE25'!L301+'DOE25'!L320,0)</f>
        <v>31400</v>
      </c>
      <c r="D15" s="182">
        <f t="shared" ref="D15:D27" si="0">ROUND((C15/$C$28)*100,1)</f>
        <v>1.1000000000000001</v>
      </c>
    </row>
    <row r="16" spans="1:4" x14ac:dyDescent="0.2">
      <c r="A16">
        <v>2200</v>
      </c>
      <c r="B16" t="s">
        <v>707</v>
      </c>
      <c r="C16" s="179">
        <f>ROUND('DOE25'!L204+'DOE25'!L222+'DOE25'!L240+'DOE25'!L283+'DOE25'!L302+'DOE25'!L321,0)</f>
        <v>119934</v>
      </c>
      <c r="D16" s="182">
        <f t="shared" si="0"/>
        <v>4.3</v>
      </c>
    </row>
    <row r="17" spans="1:4" x14ac:dyDescent="0.2">
      <c r="A17" s="183" t="s">
        <v>723</v>
      </c>
      <c r="B17" t="s">
        <v>738</v>
      </c>
      <c r="C17" s="179">
        <f>ROUND('DOE25'!L205+'DOE25'!L210+'DOE25'!L223+'DOE25'!L228+'DOE25'!L241+'DOE25'!L246+'DOE25'!L284+'DOE25'!L289+'DOE25'!L303+'DOE25'!L308+'DOE25'!L322+'DOE25'!L327,0)</f>
        <v>185758</v>
      </c>
      <c r="D17" s="182">
        <f t="shared" si="0"/>
        <v>6.6</v>
      </c>
    </row>
    <row r="18" spans="1:4" x14ac:dyDescent="0.2">
      <c r="A18">
        <v>2400</v>
      </c>
      <c r="B18" t="s">
        <v>711</v>
      </c>
      <c r="C18" s="179">
        <f>ROUND('DOE25'!L206+'DOE25'!L224+'DOE25'!L242+'DOE25'!L285+'DOE25'!L304+'DOE25'!L323,0)</f>
        <v>224680</v>
      </c>
      <c r="D18" s="182">
        <f t="shared" si="0"/>
        <v>8</v>
      </c>
    </row>
    <row r="19" spans="1:4" x14ac:dyDescent="0.2">
      <c r="A19">
        <v>2500</v>
      </c>
      <c r="B19" t="s">
        <v>708</v>
      </c>
      <c r="C19" s="179">
        <f>ROUND('DOE25'!L207+'DOE25'!L225+'DOE25'!L243+'DOE25'!L286+'DOE25'!L305+'DOE25'!L324,0)</f>
        <v>2943</v>
      </c>
      <c r="D19" s="182">
        <f t="shared" si="0"/>
        <v>0.1</v>
      </c>
    </row>
    <row r="20" spans="1:4" x14ac:dyDescent="0.2">
      <c r="A20">
        <v>2600</v>
      </c>
      <c r="B20" t="s">
        <v>709</v>
      </c>
      <c r="C20" s="179">
        <f>ROUND('DOE25'!L208+'DOE25'!L226+'DOE25'!L244+'DOE25'!L287+'DOE25'!L306+'DOE25'!L325,0)</f>
        <v>165103</v>
      </c>
      <c r="D20" s="182">
        <f t="shared" si="0"/>
        <v>5.9</v>
      </c>
    </row>
    <row r="21" spans="1:4" x14ac:dyDescent="0.2">
      <c r="A21">
        <v>2700</v>
      </c>
      <c r="B21" t="s">
        <v>710</v>
      </c>
      <c r="C21" s="179">
        <f>ROUND('DOE25'!L209+'DOE25'!L227+'DOE25'!L245+'DOE25'!L288+'DOE25'!L307+'DOE25'!L326,0)</f>
        <v>108663</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186044</v>
      </c>
      <c r="D25" s="182">
        <f t="shared" si="0"/>
        <v>6.6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50571.37</v>
      </c>
      <c r="D27" s="182">
        <f t="shared" si="0"/>
        <v>1.8</v>
      </c>
    </row>
    <row r="28" spans="1:4" x14ac:dyDescent="0.2">
      <c r="B28" s="187" t="s">
        <v>719</v>
      </c>
      <c r="C28" s="180">
        <f>SUM(C10:C27)</f>
        <v>2799033.37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2799033.37</v>
      </c>
    </row>
    <row r="31" spans="1:4" x14ac:dyDescent="0.2">
      <c r="B31" s="33"/>
      <c r="C31" s="180"/>
    </row>
    <row r="32" spans="1:4" x14ac:dyDescent="0.2">
      <c r="A32">
        <v>5100</v>
      </c>
      <c r="B32" s="33" t="s">
        <v>726</v>
      </c>
      <c r="C32" s="180">
        <f>ROUND('DOE25'!L261+'DOE25'!L342,0)</f>
        <v>395972</v>
      </c>
    </row>
    <row r="34" spans="1:4" x14ac:dyDescent="0.2">
      <c r="A34" s="187" t="s">
        <v>94</v>
      </c>
      <c r="B34" s="188" t="s">
        <v>1589</v>
      </c>
      <c r="C34" s="181" t="s">
        <v>720</v>
      </c>
      <c r="D34" s="181" t="s">
        <v>721</v>
      </c>
    </row>
    <row r="35" spans="1:4" x14ac:dyDescent="0.2">
      <c r="A35">
        <v>1100</v>
      </c>
      <c r="B35" s="185" t="s">
        <v>727</v>
      </c>
      <c r="C35" s="179">
        <f>ROUND('DOE25'!F60+'DOE25'!G60+'DOE25'!H60+'DOE25'!I60+'DOE25'!J60,0)</f>
        <v>2013300</v>
      </c>
      <c r="D35" s="182">
        <f t="shared" ref="D35:D40" si="1">ROUND((C35/$C$41)*100,1)</f>
        <v>57</v>
      </c>
    </row>
    <row r="36" spans="1:4" x14ac:dyDescent="0.2">
      <c r="B36" s="185" t="s">
        <v>739</v>
      </c>
      <c r="C36" s="179">
        <f>SUM('DOE25'!F112:J112)-SUM('DOE25'!G97:G110)+('DOE25'!F175+'DOE25'!F176+'DOE25'!I175+'DOE25'!I176)-C35</f>
        <v>50316.089999999851</v>
      </c>
      <c r="D36" s="182">
        <f t="shared" si="1"/>
        <v>1.4</v>
      </c>
    </row>
    <row r="37" spans="1:4" x14ac:dyDescent="0.2">
      <c r="A37" s="183" t="s">
        <v>835</v>
      </c>
      <c r="B37" s="185" t="s">
        <v>728</v>
      </c>
      <c r="C37" s="179">
        <f>ROUND('DOE25'!F117+'DOE25'!F118,0)</f>
        <v>1140973</v>
      </c>
      <c r="D37" s="182">
        <f t="shared" si="1"/>
        <v>32.299999999999997</v>
      </c>
    </row>
    <row r="38" spans="1:4" x14ac:dyDescent="0.2">
      <c r="A38" s="183" t="s">
        <v>734</v>
      </c>
      <c r="B38" s="185" t="s">
        <v>729</v>
      </c>
      <c r="C38" s="179">
        <f>ROUND(SUM('DOE25'!F140:J140)-SUM('DOE25'!F117:F119),0)</f>
        <v>208395</v>
      </c>
      <c r="D38" s="182">
        <f t="shared" si="1"/>
        <v>5.9</v>
      </c>
    </row>
    <row r="39" spans="1:4" x14ac:dyDescent="0.2">
      <c r="A39">
        <v>4000</v>
      </c>
      <c r="B39" s="185" t="s">
        <v>730</v>
      </c>
      <c r="C39" s="179">
        <f>ROUND('DOE25'!F170+'DOE25'!G170+'DOE25'!H170+'DOE25'!I170,0)</f>
        <v>116454</v>
      </c>
      <c r="D39" s="182">
        <f t="shared" si="1"/>
        <v>3.3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3529438.09</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Unity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2020-12-01T15:38:29Z</cp:lastPrinted>
  <dcterms:created xsi:type="dcterms:W3CDTF">1997-12-04T19:04:30Z</dcterms:created>
  <dcterms:modified xsi:type="dcterms:W3CDTF">2020-12-01T15:39:40Z</dcterms:modified>
</cp:coreProperties>
</file>