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W'!$A$1:$E$36</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5" i="14" l="1"/>
  <c r="C20" i="12"/>
  <c r="B20" i="12"/>
  <c r="F278" i="1"/>
  <c r="H283" i="1"/>
  <c r="H605" i="1" l="1"/>
  <c r="H473" i="1"/>
  <c r="H469" i="1"/>
  <c r="I282" i="1"/>
  <c r="H282" i="1"/>
  <c r="G282" i="1"/>
  <c r="F282" i="1"/>
  <c r="G278" i="1"/>
  <c r="F29" i="13" l="1"/>
  <c r="F15" i="13"/>
  <c r="J592" i="1" l="1"/>
  <c r="J594" i="1"/>
  <c r="H524" i="1"/>
  <c r="H522" i="1"/>
  <c r="H359" i="1"/>
  <c r="F208" i="1"/>
  <c r="F241" i="1"/>
  <c r="H241" i="1"/>
  <c r="H235" i="1"/>
  <c r="H208" i="1"/>
  <c r="H205" i="1"/>
  <c r="H204" i="1"/>
  <c r="H203" i="1"/>
  <c r="H198" i="1"/>
  <c r="H155" i="1"/>
  <c r="G158" i="1"/>
  <c r="F110" i="1" l="1"/>
  <c r="G24" i="1"/>
  <c r="F9" i="1"/>
  <c r="F50" i="1"/>
  <c r="F24"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2" i="14"/>
  <c r="C13" i="14"/>
  <c r="C16" i="14"/>
  <c r="C17" i="14"/>
  <c r="C20" i="14"/>
  <c r="B6" i="14"/>
  <c r="C6" i="14" s="1"/>
  <c r="B7" i="14"/>
  <c r="C7" i="14" s="1"/>
  <c r="B8" i="14"/>
  <c r="B9" i="14"/>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32" i="10"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c r="G147" i="1"/>
  <c r="H147" i="1"/>
  <c r="H170" i="1" s="1"/>
  <c r="I147" i="1"/>
  <c r="F85" i="2" s="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3" i="2"/>
  <c r="E124" i="2"/>
  <c r="F128" i="2"/>
  <c r="G128"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51" i="1"/>
  <c r="G652" i="1"/>
  <c r="G653" i="1"/>
  <c r="H653" i="1"/>
  <c r="G654" i="1"/>
  <c r="H654" i="1"/>
  <c r="G655" i="1"/>
  <c r="H655" i="1"/>
  <c r="H656" i="1"/>
  <c r="I170" i="1"/>
  <c r="J258" i="1" l="1"/>
  <c r="J656" i="1"/>
  <c r="C131" i="2"/>
  <c r="H112" i="1"/>
  <c r="C13" i="10"/>
  <c r="G646" i="1"/>
  <c r="H462" i="1"/>
  <c r="H642" i="1" s="1"/>
  <c r="H409" i="1"/>
  <c r="H645" i="1" s="1"/>
  <c r="J645" i="1" s="1"/>
  <c r="K339" i="1"/>
  <c r="K353" i="1" s="1"/>
  <c r="G339" i="1"/>
  <c r="G353" i="1" s="1"/>
  <c r="L257" i="1"/>
  <c r="E112" i="2"/>
  <c r="A40" i="12"/>
  <c r="E119" i="2"/>
  <c r="E110" i="2"/>
  <c r="C112" i="2"/>
  <c r="C125" i="2"/>
  <c r="C11" i="10"/>
  <c r="J652" i="1"/>
  <c r="G553" i="1"/>
  <c r="H477" i="1"/>
  <c r="H625" i="1" s="1"/>
  <c r="J625" i="1" s="1"/>
  <c r="L402" i="1"/>
  <c r="C139" i="2" s="1"/>
  <c r="C20" i="10"/>
  <c r="F258" i="1"/>
  <c r="F272" i="1" s="1"/>
  <c r="C110" i="2"/>
  <c r="C91" i="2"/>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G36" i="14" s="1"/>
  <c r="H36" i="14" s="1"/>
  <c r="I36" i="14" s="1"/>
  <c r="L212" i="1"/>
  <c r="F661" i="1" s="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J653" i="1"/>
  <c r="G572" i="1"/>
  <c r="I435" i="1"/>
  <c r="G435" i="1"/>
  <c r="I664" i="1"/>
  <c r="E128" i="2" l="1"/>
  <c r="H661" i="1"/>
  <c r="E115" i="2"/>
  <c r="E145" i="2" s="1"/>
  <c r="H649" i="1"/>
  <c r="J649" i="1" s="1"/>
  <c r="H665" i="1"/>
  <c r="H668" i="1" s="1"/>
  <c r="C81" i="2"/>
  <c r="F194" i="1"/>
  <c r="G628" i="1" s="1"/>
  <c r="J628" i="1" s="1"/>
  <c r="E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<sst xmlns="http://schemas.openxmlformats.org/spreadsheetml/2006/main" count="5545" uniqueCount="1643">
  <si>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</si>
  <si>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</si>
  <si>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</si>
  <si>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</si>
  <si>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</si>
  <si>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</si>
  <si>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</si>
  <si>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</si>
  <si>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</si>
  <si>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</si>
  <si>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</si>
  <si>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</si>
  <si>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</si>
  <si>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</si>
  <si>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</si>
  <si>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</si>
  <si>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</si>
  <si>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</si>
  <si>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</si>
  <si>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</si>
  <si>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</si>
  <si>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</si>
  <si>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</si>
  <si>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</si>
  <si>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</si>
  <si>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</si>
  <si>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</si>
  <si>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</si>
  <si>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</si>
  <si>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</si>
  <si>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</si>
  <si>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</si>
  <si>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</si>
  <si>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</si>
  <si>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</si>
  <si>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</si>
  <si>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</si>
  <si>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</si>
  <si>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</si>
  <si>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</si>
  <si>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</si>
  <si>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</si>
  <si>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</si>
  <si>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</si>
  <si>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</si>
  <si>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</si>
  <si>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</si>
  <si>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</si>
  <si>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</si>
  <si>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</si>
  <si>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</si>
  <si>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</si>
  <si>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</si>
  <si>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</si>
  <si>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</si>
  <si>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</si>
  <si>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</si>
  <si>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</si>
  <si>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</si>
  <si>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</si>
  <si>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</si>
  <si>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</si>
  <si>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</si>
  <si>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</si>
  <si>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</si>
  <si>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</si>
  <si>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</si>
  <si>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</si>
  <si>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</si>
  <si>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</si>
  <si>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</si>
  <si>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</si>
  <si>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</si>
  <si>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</si>
  <si>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</si>
  <si>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</si>
  <si>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</si>
  <si>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</si>
  <si>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</si>
  <si>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</si>
  <si>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</si>
  <si>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</si>
  <si>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</si>
  <si>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</si>
  <si>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</si>
  <si>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</si>
  <si>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</si>
  <si>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</si>
  <si>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</si>
  <si>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</si>
  <si>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</si>
  <si>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</si>
  <si>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</si>
  <si>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</si>
  <si>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</si>
  <si>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</si>
  <si>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</si>
  <si>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</si>
  <si>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</si>
  <si>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</si>
  <si>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</si>
  <si>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</si>
  <si>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</si>
  <si>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</si>
  <si>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</si>
  <si>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</si>
  <si>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</si>
  <si>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</si>
  <si>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</si>
  <si>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</si>
  <si>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</si>
  <si>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</si>
  <si>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</si>
  <si>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</si>
  <si>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</si>
  <si>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</si>
  <si>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</si>
  <si>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</si>
  <si>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</si>
  <si>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</si>
  <si>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</si>
  <si>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</si>
  <si>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</si>
  <si>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</si>
  <si>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</si>
  <si>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</si>
  <si>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</si>
  <si>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</si>
  <si>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</si>
  <si>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</si>
  <si>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</si>
  <si>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</si>
  <si>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</si>
  <si>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</si>
  <si>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</si>
  <si>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</si>
  <si>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</si>
  <si>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</si>
  <si>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</si>
  <si>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</si>
  <si>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</si>
  <si>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</si>
  <si>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</si>
  <si>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</si>
  <si>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</si>
  <si>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</si>
  <si>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</si>
  <si>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</si>
  <si>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</si>
  <si>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</si>
  <si>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</si>
  <si>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</si>
  <si>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</si>
  <si>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</si>
  <si>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</si>
  <si>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</si>
  <si>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</si>
  <si>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</si>
  <si>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</si>
  <si>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</si>
  <si>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</si>
  <si>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</si>
  <si>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</si>
  <si>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</si>
  <si>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</si>
  <si>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</si>
  <si>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</si>
  <si>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</si>
  <si>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</si>
  <si>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</si>
  <si>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</si>
  <si>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</si>
  <si>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</si>
  <si>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</si>
  <si>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</si>
  <si>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</si>
  <si>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</si>
  <si>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</si>
  <si>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</si>
  <si>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</si>
  <si>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</si>
  <si>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</si>
  <si>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</si>
  <si>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</si>
  <si>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</si>
  <si>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</si>
  <si>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</si>
  <si>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</si>
  <si>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</si>
  <si>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</si>
  <si>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</si>
  <si>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</si>
  <si>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</si>
  <si>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</si>
  <si>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</si>
  <si>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</si>
  <si>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</si>
  <si>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</si>
  <si>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</si>
  <si>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</si>
  <si>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</si>
  <si>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</si>
  <si>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</si>
  <si>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</si>
  <si>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</si>
  <si>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</si>
  <si>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</si>
  <si>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</si>
  <si>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</si>
  <si>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</si>
  <si>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</si>
  <si>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</si>
  <si>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</si>
  <si>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</si>
  <si>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</si>
  <si>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</si>
  <si>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</si>
  <si>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</si>
  <si>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</si>
  <si>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</si>
  <si>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</si>
  <si>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</si>
  <si>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</si>
  <si>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</si>
  <si>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</si>
  <si>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</si>
  <si>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</si>
  <si>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</si>
  <si>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</si>
  <si>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</si>
  <si>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</si>
  <si>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</si>
  <si>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</si>
  <si>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</si>
  <si>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</si>
  <si>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</si>
  <si>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</si>
  <si>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</si>
  <si>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</si>
  <si>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</si>
  <si>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</si>
  <si>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</si>
  <si>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</si>
  <si>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</si>
  <si>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</si>
  <si>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</si>
  <si>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</si>
  <si>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</si>
  <si>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</si>
  <si>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</si>
  <si>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</si>
  <si>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</si>
  <si>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</si>
  <si>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</si>
  <si>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</si>
  <si>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</si>
  <si>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</si>
  <si>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</si>
  <si>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</si>
  <si>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</si>
  <si>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</si>
  <si>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</si>
  <si>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</si>
  <si>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</si>
  <si>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</si>
  <si>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</si>
  <si>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</si>
  <si>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</si>
  <si>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</si>
  <si>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</si>
  <si>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</si>
  <si>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</si>
  <si>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</si>
  <si>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</si>
  <si>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</si>
  <si>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</si>
  <si>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</si>
  <si>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</si>
  <si>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</si>
  <si>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</si>
  <si>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</si>
  <si>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</si>
  <si>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</si>
  <si>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</si>
  <si>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</si>
  <si>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</si>
  <si>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</si>
  <si>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</si>
  <si>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</si>
  <si>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</si>
  <si>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</si>
  <si>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</si>
  <si>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</si>
  <si>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</si>
  <si>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</si>
  <si>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</si>
  <si>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</si>
  <si>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</si>
  <si>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</si>
  <si>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</si>
  <si>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</si>
  <si>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</si>
  <si>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</si>
  <si>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</si>
  <si>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</si>
  <si>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</si>
  <si>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</si>
  <si>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</si>
  <si>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</si>
  <si>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</si>
  <si>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</si>
  <si>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</si>
  <si>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</si>
  <si>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</si>
  <si>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</si>
  <si>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</si>
  <si>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</si>
  <si>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</si>
  <si>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</si>
  <si>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</si>
  <si>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</si>
  <si>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</si>
  <si>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</si>
  <si>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</si>
  <si>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</si>
  <si>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</si>
  <si>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</si>
  <si>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</si>
  <si>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</si>
  <si>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</si>
  <si>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</si>
  <si>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</si>
  <si>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</si>
  <si>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</si>
  <si>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</si>
  <si>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</si>
  <si>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</si>
  <si>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</si>
  <si>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</si>
  <si>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</si>
  <si>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</si>
  <si>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</si>
  <si>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</si>
  <si>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</si>
  <si>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</si>
  <si>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</si>
  <si>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</si>
  <si>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</si>
  <si>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</si>
  <si>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</si>
  <si>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</si>
  <si>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</si>
  <si>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</si>
  <si>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</si>
  <si>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</si>
  <si>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</si>
  <si>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</si>
  <si>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</si>
  <si>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</si>
  <si>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</si>
  <si>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</si>
  <si>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</si>
  <si>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</si>
  <si>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</si>
  <si>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</si>
  <si>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</si>
  <si>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</si>
  <si>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</si>
  <si>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</si>
  <si>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</si>
  <si>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</si>
  <si>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</si>
  <si>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</si>
  <si>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</si>
  <si>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</si>
  <si>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</si>
  <si>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</si>
  <si>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</si>
  <si>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</si>
  <si>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</si>
  <si>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</si>
  <si>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</si>
  <si>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</si>
  <si>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</si>
  <si>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</si>
  <si>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</si>
  <si>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</si>
  <si>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</si>
  <si>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</si>
  <si>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</si>
  <si>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</si>
  <si>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</si>
  <si>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</si>
  <si>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</si>
  <si>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</si>
  <si>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</si>
  <si>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</si>
  <si>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</si>
  <si>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</si>
  <si>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</si>
  <si>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</si>
  <si>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</si>
  <si>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</si>
  <si>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</si>
  <si>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</si>
  <si>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</si>
  <si>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</si>
  <si>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</si>
  <si>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</si>
  <si>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</si>
  <si>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</si>
  <si>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</si>
  <si>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</si>
  <si>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</si>
  <si>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</si>
  <si>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</si>
  <si>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</si>
  <si>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</si>
  <si>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</si>
  <si>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</si>
  <si>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</si>
  <si>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</si>
  <si>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</si>
  <si>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</si>
  <si>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</si>
  <si>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</si>
  <si>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</si>
  <si>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</si>
  <si>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</si>
  <si>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</si>
  <si>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</si>
  <si>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</si>
  <si>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</si>
  <si>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</si>
  <si>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</si>
  <si>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</si>
  <si>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</si>
  <si>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</si>
  <si>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</si>
  <si>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</si>
  <si>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</si>
  <si>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</si>
  <si>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</si>
  <si>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</si>
  <si>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</si>
  <si>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</si>
  <si>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</si>
  <si>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</si>
  <si>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</si>
  <si>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</si>
  <si>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</si>
  <si>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</si>
  <si>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</si>
  <si>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</si>
  <si>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</si>
  <si>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</si>
  <si>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</si>
  <si>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</si>
  <si>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</si>
  <si>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</si>
  <si>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</si>
  <si>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</si>
  <si>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</si>
  <si>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</si>
  <si>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</si>
  <si>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</si>
  <si>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</si>
  <si>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</si>
  <si>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</si>
  <si>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</si>
  <si>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</si>
  <si>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</si>
  <si>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</si>
  <si>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</si>
  <si>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</si>
  <si>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</si>
  <si>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</si>
  <si>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</si>
  <si>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</si>
  <si>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</si>
  <si>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</si>
  <si>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</si>
  <si>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</si>
  <si>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</si>
  <si>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</si>
  <si>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</si>
  <si>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</si>
  <si>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</si>
  <si>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</si>
  <si>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</si>
  <si>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</si>
  <si>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</si>
  <si>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</si>
  <si>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</si>
  <si>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</si>
  <si>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</si>
  <si>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</si>
  <si>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</si>
  <si>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</si>
  <si>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</si>
  <si>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</si>
  <si>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</si>
  <si>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</si>
  <si>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</si>
  <si>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</si>
  <si>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</si>
  <si>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</si>
  <si>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</si>
  <si>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</si>
  <si>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</si>
  <si>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</si>
  <si>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</si>
  <si>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</si>
  <si>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</si>
  <si>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</si>
  <si>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</si>
  <si>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</si>
  <si>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</si>
  <si>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</si>
  <si>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</si>
  <si>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</si>
  <si>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</si>
  <si>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</si>
  <si>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</si>
  <si>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</si>
  <si>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</si>
  <si>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</si>
  <si>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</si>
  <si>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</si>
  <si>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</si>
  <si>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</si>
  <si>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</si>
  <si>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</si>
  <si>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</si>
  <si>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</si>
  <si>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</si>
  <si>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</si>
  <si>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</si>
  <si>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</si>
  <si>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</si>
  <si>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</si>
  <si>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</si>
  <si>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</si>
  <si>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</si>
  <si>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</si>
  <si>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</si>
  <si>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</si>
  <si>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</si>
  <si>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</si>
  <si>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</si>
  <si>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</si>
  <si>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</si>
  <si>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</si>
  <si>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</si>
  <si>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</si>
  <si>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</si>
  <si>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</si>
  <si>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</si>
  <si>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</si>
  <si>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</si>
  <si>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</si>
  <si>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</si>
  <si>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</si>
  <si>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</si>
  <si>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</si>
  <si>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</si>
  <si>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</si>
  <si>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</si>
  <si>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</si>
  <si>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</si>
  <si>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</si>
  <si>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</si>
  <si>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</si>
  <si>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</si>
  <si>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</si>
  <si>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</si>
  <si>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</si>
  <si>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</si>
  <si>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</si>
  <si>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</si>
  <si>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</si>
  <si>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</si>
  <si>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</si>
  <si>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</si>
  <si>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</si>
  <si>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</si>
  <si>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</si>
  <si>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</si>
  <si>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</si>
  <si>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</si>
  <si>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</si>
  <si>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</si>
  <si>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</si>
  <si>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</si>
  <si>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</si>
  <si>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</si>
  <si>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</si>
  <si>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</si>
  <si>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</si>
  <si>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</si>
  <si>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</si>
  <si>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</si>
  <si>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</si>
  <si>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</si>
  <si>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</si>
  <si>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</si>
  <si>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</si>
  <si>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</si>
  <si>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</si>
  <si>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</si>
  <si>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</si>
  <si>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</si>
  <si>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</si>
  <si>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</si>
  <si>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</si>
  <si>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</si>
  <si>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</si>
  <si>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</si>
  <si>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</si>
  <si>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</si>
  <si>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</si>
  <si>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</si>
  <si>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</si>
  <si>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</si>
  <si>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</si>
  <si>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</si>
  <si>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</si>
  <si>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</si>
  <si>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</si>
  <si>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</si>
  <si>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</si>
  <si>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</si>
  <si>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</si>
  <si>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</si>
  <si>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</si>
  <si>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</si>
  <si>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</si>
  <si>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</si>
  <si>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</si>
  <si>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</si>
  <si>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</si>
  <si>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</si>
  <si>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</si>
  <si>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</si>
  <si>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</si>
  <si>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</si>
  <si>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</si>
  <si>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</si>
  <si>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</si>
  <si>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</si>
  <si>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</si>
  <si>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</si>
  <si>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</si>
  <si>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</si>
  <si>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</si>
  <si>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</si>
  <si>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</si>
  <si>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</si>
  <si>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</si>
  <si>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</si>
  <si>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</si>
  <si>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</si>
  <si>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</si>
  <si>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</si>
  <si>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</si>
  <si>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</si>
  <si>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</si>
  <si>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</si>
  <si>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</si>
  <si>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</si>
  <si>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</si>
  <si>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</si>
  <si>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</si>
  <si>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</si>
  <si>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</si>
  <si>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</si>
  <si>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</si>
  <si>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</si>
  <si>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</si>
  <si>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</si>
  <si>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</si>
  <si>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</si>
  <si>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</si>
  <si>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</si>
  <si>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</si>
  <si>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</si>
  <si>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</si>
  <si>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</si>
  <si>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</si>
  <si>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</si>
  <si>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</si>
  <si>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</si>
  <si>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</si>
  <si>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</si>
  <si>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</si>
  <si>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</si>
  <si>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</si>
  <si>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</si>
  <si>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</si>
  <si>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</si>
  <si>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</si>
  <si>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</si>
  <si>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</si>
  <si>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</si>
  <si>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</si>
  <si>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</si>
  <si>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</si>
  <si>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</si>
  <si>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</si>
  <si>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</si>
  <si>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</si>
  <si>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</si>
  <si>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</si>
  <si>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</si>
  <si>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</si>
  <si>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</si>
  <si>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</si>
  <si>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</si>
  <si>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</si>
  <si>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</si>
  <si>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</si>
  <si>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</si>
  <si>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</si>
  <si>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</si>
  <si>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</si>
  <si>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</si>
  <si>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</si>
  <si>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</si>
  <si>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</si>
  <si>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</si>
  <si>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</si>
  <si>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</si>
  <si>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</si>
  <si>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</si>
  <si>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</si>
  <si>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</si>
  <si>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</si>
  <si>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</si>
  <si>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</si>
  <si>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</si>
  <si>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</si>
  <si>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</si>
  <si>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</si>
  <si>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</si>
  <si>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</si>
  <si>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</si>
  <si>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</si>
  <si>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</si>
  <si>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</si>
  <si>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</si>
  <si>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</si>
  <si>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</si>
  <si>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</si>
  <si>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</si>
  <si>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</si>
  <si>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</si>
  <si>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</si>
  <si>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</si>
  <si>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</si>
  <si>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</si>
  <si>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</si>
  <si>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</si>
  <si>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</si>
  <si>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</si>
  <si>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</si>
  <si>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</si>
  <si>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</si>
  <si>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</si>
  <si>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</si>
  <si>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</si>
  <si>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</si>
  <si>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</si>
  <si>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</si>
  <si>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</si>
  <si>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</si>
  <si>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</si>
  <si>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</si>
  <si>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</si>
  <si>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</si>
  <si>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</si>
  <si>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</si>
  <si>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</si>
  <si>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</si>
  <si>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</si>
  <si>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</si>
  <si>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</si>
  <si>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</si>
  <si>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</si>
  <si>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</si>
  <si>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</si>
  <si>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</si>
  <si>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</si>
  <si>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</si>
  <si>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</si>
  <si>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</si>
  <si>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</si>
  <si>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</si>
  <si>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</si>
  <si>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</si>
  <si>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</si>
  <si>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</si>
  <si>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</si>
  <si>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</si>
  <si>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</si>
  <si>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</si>
  <si>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</si>
  <si>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</si>
  <si>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</si>
  <si>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</si>
  <si>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</si>
  <si>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</si>
  <si>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</si>
  <si>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</si>
  <si>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</si>
  <si>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</si>
  <si>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</si>
  <si>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</si>
  <si>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</si>
  <si>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</si>
  <si>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</si>
  <si>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</si>
  <si>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</si>
  <si>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</si>
  <si>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</si>
  <si>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</si>
  <si>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</si>
  <si>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</si>
  <si>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</si>
  <si>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</si>
  <si>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</si>
  <si>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</si>
  <si>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</si>
  <si>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</si>
  <si>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</si>
  <si>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</si>
  <si>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</si>
  <si>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</si>
  <si>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</si>
  <si>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</si>
  <si>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</si>
  <si>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</si>
  <si>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</si>
  <si>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</si>
  <si>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</si>
  <si>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</si>
  <si>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</si>
  <si>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</si>
  <si>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</si>
  <si>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</si>
  <si>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</si>
  <si>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</si>
  <si>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</si>
  <si>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</si>
  <si>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</si>
  <si>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</si>
  <si>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</si>
  <si>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</si>
  <si>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</si>
  <si>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</si>
  <si>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</si>
  <si>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</si>
  <si>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</si>
  <si>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</si>
  <si>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</si>
  <si>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</si>
  <si>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</si>
  <si>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</si>
  <si>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</si>
  <si>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</si>
  <si>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</si>
  <si>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</si>
  <si>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</si>
  <si>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</si>
  <si>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</si>
  <si>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</si>
  <si>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</si>
  <si>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</si>
  <si>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</si>
  <si>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</si>
  <si>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</si>
  <si>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</si>
  <si>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</si>
  <si>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</si>
  <si>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</si>
  <si>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</si>
  <si>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</si>
  <si>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</si>
  <si>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</si>
  <si>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</si>
  <si>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</si>
  <si>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</si>
  <si>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</si>
  <si>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</si>
  <si>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</si>
  <si>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</si>
  <si>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</si>
  <si>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</si>
  <si>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</si>
  <si>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</si>
  <si>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</si>
  <si>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</si>
  <si>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</si>
  <si>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</si>
  <si>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</si>
  <si>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</si>
  <si>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</si>
  <si>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</si>
  <si>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</si>
  <si>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</si>
  <si>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</si>
  <si>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</si>
  <si>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</si>
  <si>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</si>
  <si>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</si>
  <si>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</si>
  <si>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</si>
  <si>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</si>
  <si>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</si>
  <si>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</si>
  <si>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</si>
  <si>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</si>
  <si>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</si>
  <si>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</si>
  <si>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</si>
  <si>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</si>
  <si>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</si>
  <si>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</si>
  <si>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</si>
  <si>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</si>
  <si>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</si>
  <si>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</si>
  <si>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</si>
  <si>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</si>
  <si>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</si>
  <si>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</si>
  <si>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</si>
  <si>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</si>
  <si>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</si>
  <si>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</si>
  <si>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</si>
  <si>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</si>
  <si>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</si>
  <si>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</si>
  <si>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</si>
  <si>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</si>
  <si>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</si>
  <si>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</si>
  <si>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</si>
  <si>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</si>
  <si>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</si>
  <si>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</si>
  <si>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</si>
  <si>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</si>
  <si>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</si>
  <si>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</si>
  <si>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</si>
  <si>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</si>
  <si>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</si>
  <si>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</si>
  <si>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</si>
  <si>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</si>
  <si>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</si>
  <si>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</si>
  <si>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</si>
  <si>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</si>
  <si>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</si>
  <si>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</si>
  <si>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</si>
  <si>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</si>
  <si>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</si>
  <si>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</si>
  <si>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</si>
  <si>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</si>
  <si>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</si>
  <si>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</si>
  <si>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</si>
  <si>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</si>
  <si>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</si>
  <si>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</si>
  <si>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</si>
  <si>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</si>
  <si>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</si>
  <si>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</si>
  <si>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</si>
  <si>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</si>
  <si>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</si>
  <si>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</si>
  <si>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</si>
  <si>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</si>
  <si>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</si>
  <si>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</si>
  <si>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</si>
  <si>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</si>
  <si>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</si>
  <si>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</si>
  <si>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</si>
  <si>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</si>
  <si>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</si>
  <si>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</si>
  <si>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</si>
  <si>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</si>
  <si>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</si>
  <si>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</si>
  <si>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</si>
  <si>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</si>
  <si>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</si>
  <si>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</si>
  <si>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</si>
  <si>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</si>
  <si>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</si>
  <si>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</si>
  <si>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</si>
  <si>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</si>
  <si>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</si>
  <si>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</si>
  <si>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</si>
  <si>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</si>
  <si>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</si>
  <si>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</si>
  <si>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</si>
  <si>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</si>
  <si>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</si>
  <si>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</si>
  <si>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</si>
  <si>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</si>
  <si>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</si>
  <si>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</si>
  <si>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</si>
  <si>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</si>
  <si>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</si>
  <si>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</si>
  <si>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</si>
  <si>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</si>
  <si>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</si>
  <si>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</si>
  <si>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</si>
  <si>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</si>
  <si>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</si>
  <si>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</si>
  <si>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</si>
  <si>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</si>
  <si>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</si>
  <si>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</si>
  <si>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</si>
  <si>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</si>
  <si>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</si>
  <si>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</si>
  <si>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</si>
  <si>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</si>
  <si>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</si>
  <si>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</si>
  <si>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</si>
  <si>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</si>
  <si>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</si>
  <si>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</si>
  <si>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</si>
  <si>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</si>
  <si>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</si>
  <si>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</si>
  <si>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</si>
  <si>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</si>
  <si>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</si>
  <si>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</si>
  <si>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</si>
  <si>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</si>
  <si>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</si>
  <si>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</si>
  <si>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</si>
  <si>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</si>
  <si>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</si>
  <si>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</si>
  <si>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</si>
  <si>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</si>
  <si>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</si>
  <si>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</si>
  <si>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</si>
  <si>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</si>
  <si>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</si>
  <si>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</si>
  <si>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</si>
  <si>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</si>
  <si>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</si>
  <si>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</si>
  <si>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</si>
  <si>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</si>
  <si>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</si>
  <si>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</si>
  <si>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</si>
  <si>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</si>
  <si>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</si>
  <si>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</si>
  <si>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</si>
  <si>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</si>
  <si>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</si>
  <si>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</si>
  <si>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</si>
  <si>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</si>
  <si>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</si>
  <si>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</si>
  <si>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</si>
  <si>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</si>
  <si>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</si>
  <si>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</si>
  <si>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</si>
  <si>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</si>
  <si>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</si>
  <si>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</si>
  <si>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</si>
  <si>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</si>
  <si>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</si>
  <si>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</si>
  <si>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</si>
  <si>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</si>
  <si>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</si>
  <si>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</si>
  <si>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</si>
  <si>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</si>
  <si>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</si>
  <si>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</si>
  <si>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</si>
  <si>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</si>
  <si>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</si>
  <si>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</si>
  <si>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</si>
  <si>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</si>
  <si>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</si>
  <si>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</si>
  <si>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</si>
  <si>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</si>
  <si>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</si>
  <si>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</si>
  <si>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</si>
  <si>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</si>
  <si>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</si>
  <si>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</si>
  <si>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</si>
  <si>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</si>
  <si>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</si>
  <si>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</si>
  <si>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</si>
  <si>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</si>
  <si>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</si>
  <si>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</si>
  <si>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</si>
  <si>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</si>
  <si>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</si>
  <si>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</si>
  <si>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</si>
  <si>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</si>
  <si>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</si>
  <si>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</si>
  <si>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</si>
  <si>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</si>
  <si>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</si>
  <si>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</si>
  <si>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</si>
  <si>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</si>
  <si>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</si>
  <si>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</si>
  <si>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</si>
  <si>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</si>
  <si>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</si>
  <si>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</si>
  <si>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</si>
  <si>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</si>
  <si>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</si>
  <si>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</si>
  <si>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</si>
  <si>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</si>
  <si>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</si>
  <si>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</si>
  <si>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</si>
  <si>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</si>
  <si>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</si>
  <si>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</si>
  <si>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</si>
  <si>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</si>
  <si>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</si>
  <si>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</si>
  <si>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</si>
  <si>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</si>
  <si>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</si>
  <si>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</si>
  <si>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</si>
  <si>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</si>
  <si>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</si>
  <si>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</si>
  <si>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</si>
  <si>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</si>
  <si>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</si>
  <si>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</si>
  <si>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</si>
  <si>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</si>
  <si>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</si>
  <si>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</si>
  <si>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</si>
  <si>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</si>
  <si>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</si>
  <si>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</si>
  <si>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</si>
  <si>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</si>
  <si>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</si>
  <si>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</si>
  <si>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</si>
  <si>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</si>
  <si>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</si>
  <si>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</si>
  <si>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</si>
  <si>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</si>
  <si>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</si>
  <si>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</si>
  <si>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</si>
  <si>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</si>
  <si>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</si>
  <si>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</si>
  <si>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</si>
  <si>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</si>
  <si>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</si>
  <si>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</si>
  <si>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</si>
  <si>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</si>
  <si>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</si>
  <si>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</si>
  <si>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</si>
  <si>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</si>
  <si>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</si>
  <si>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</si>
  <si>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</si>
  <si>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</si>
  <si>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</si>
  <si>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</si>
  <si>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</si>
  <si>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</si>
  <si>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</si>
  <si>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</si>
  <si>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</si>
  <si>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</si>
  <si>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</si>
  <si>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</si>
  <si>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</si>
  <si>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</si>
  <si>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</si>
  <si>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</si>
  <si>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</si>
  <si>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</si>
  <si>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</si>
  <si>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</si>
  <si>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</si>
  <si>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</si>
  <si>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</si>
  <si>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</si>
  <si>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</si>
  <si>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</si>
  <si>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</si>
  <si>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</si>
  <si>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</si>
  <si>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</si>
  <si>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</si>
  <si>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</si>
  <si>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</si>
  <si>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</si>
  <si>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</si>
  <si>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</si>
  <si>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</si>
  <si>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</si>
  <si>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</si>
  <si>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</si>
  <si>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</si>
  <si>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</si>
  <si>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</si>
  <si>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</si>
  <si>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</si>
  <si>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</si>
  <si>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</si>
  <si>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</si>
  <si>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</si>
  <si>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</si>
  <si>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</si>
  <si>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</si>
  <si>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</si>
  <si>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</si>
  <si>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</si>
  <si>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</si>
  <si>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</si>
  <si>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</si>
  <si>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</si>
  <si>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</si>
  <si>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</si>
  <si>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</si>
  <si>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</si>
  <si>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</si>
  <si>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</si>
  <si>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</si>
  <si>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</si>
  <si>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</si>
  <si>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</si>
  <si>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</si>
  <si>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</si>
  <si>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</si>
  <si>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</si>
  <si>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</si>
  <si>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</si>
  <si>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</si>
  <si>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</si>
  <si>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</si>
  <si>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</si>
  <si>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</si>
  <si>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</si>
  <si>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</si>
  <si>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</si>
  <si>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</si>
  <si>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</si>
  <si>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</si>
  <si>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</si>
  <si>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</si>
  <si>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</si>
  <si>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</si>
  <si>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</si>
  <si>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</si>
  <si>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</si>
  <si>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</si>
  <si>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</si>
  <si>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</si>
  <si>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</si>
  <si>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</si>
  <si>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</si>
  <si>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</si>
  <si>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</si>
  <si>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</si>
  <si>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</si>
  <si>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</si>
  <si>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</si>
  <si>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</si>
  <si>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</si>
  <si>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</si>
  <si>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</si>
  <si>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</si>
  <si>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</si>
  <si>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</si>
  <si>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</si>
  <si>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</si>
  <si>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</si>
  <si>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</si>
  <si>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</si>
  <si>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</si>
  <si>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</si>
  <si>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</si>
  <si>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</si>
  <si>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</si>
  <si>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</si>
  <si>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</si>
  <si>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</si>
  <si>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</si>
  <si>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</si>
  <si>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</si>
  <si>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</si>
  <si>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</si>
  <si>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</si>
  <si>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</si>
  <si>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</si>
  <si>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</si>
  <si>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</si>
  <si>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</si>
  <si>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</si>
  <si>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</si>
  <si>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</si>
  <si>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</si>
  <si>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</si>
  <si>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</si>
  <si>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</si>
  <si>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</si>
  <si>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</si>
  <si>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</si>
  <si>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</si>
  <si>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</si>
  <si>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</si>
  <si>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</si>
  <si>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</si>
  <si>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</si>
  <si>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</si>
  <si>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</si>
  <si>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</si>
  <si>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</si>
  <si>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</si>
  <si>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</si>
  <si>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</si>
  <si>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</si>
  <si>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</si>
  <si>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</si>
  <si>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</si>
  <si>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</si>
  <si>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</si>
  <si>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</si>
  <si>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</si>
  <si>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</si>
  <si>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</si>
  <si>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</si>
  <si>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</si>
  <si>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</si>
  <si>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</si>
  <si>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</si>
  <si>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</si>
  <si>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</si>
  <si>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</si>
  <si>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</si>
  <si>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</si>
  <si>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</si>
  <si>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</si>
  <si>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</si>
  <si>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</si>
  <si>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</si>
  <si>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</si>
  <si>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</si>
  <si>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</si>
  <si>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</si>
  <si>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</si>
  <si>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</si>
  <si>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</si>
  <si>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</si>
  <si>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</si>
  <si>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</si>
  <si>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</si>
  <si>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</si>
  <si>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</si>
  <si>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</si>
  <si>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</si>
  <si>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</si>
  <si>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</si>
  <si>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</si>
  <si>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</si>
  <si>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</si>
  <si>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</si>
  <si>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</si>
  <si>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</si>
  <si>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</si>
  <si>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</si>
  <si>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</si>
  <si>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</si>
  <si>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</si>
  <si>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</si>
  <si>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</si>
  <si>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</si>
  <si>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</si>
  <si>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</si>
  <si>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</si>
  <si>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</si>
  <si>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</si>
  <si>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</si>
  <si>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</si>
  <si>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</si>
  <si>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</si>
  <si>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</si>
  <si>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</si>
  <si>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</si>
  <si>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</si>
  <si>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</si>
  <si>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</si>
  <si>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</si>
  <si>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</si>
  <si>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</si>
  <si>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</si>
  <si>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</si>
  <si>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</si>
  <si>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</si>
  <si>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</si>
  <si>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</si>
  <si>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</si>
  <si>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</si>
  <si>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</si>
  <si>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</si>
  <si>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</si>
  <si>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</si>
  <si>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</si>
  <si>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</si>
  <si>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</si>
  <si>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</si>
  <si>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</si>
  <si>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</si>
  <si>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</si>
  <si>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</si>
  <si>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</si>
  <si>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</si>
  <si>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</si>
  <si>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</si>
  <si>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</si>
  <si>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</si>
  <si>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</si>
  <si>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</si>
  <si>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</si>
  <si>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</si>
  <si>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</si>
  <si>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</si>
  <si>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</si>
  <si>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</si>
  <si>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</si>
  <si>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</si>
  <si>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</si>
  <si>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</si>
  <si>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</si>
  <si>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</si>
  <si>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</si>
  <si>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</si>
  <si>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</si>
  <si>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</si>
  <si>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</si>
  <si>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</si>
  <si>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</si>
  <si>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</si>
  <si>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</si>
  <si>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</si>
  <si>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</si>
  <si>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</si>
  <si>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</si>
  <si>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</si>
  <si>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</si>
  <si>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</si>
  <si>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</si>
  <si>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</si>
  <si>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</si>
  <si>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</si>
  <si>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</si>
  <si>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</si>
  <si>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</si>
  <si>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</si>
  <si>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</si>
  <si>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</si>
  <si>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</si>
  <si>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</si>
  <si>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</si>
  <si>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</si>
  <si>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</si>
  <si>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</si>
  <si>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</si>
  <si>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</si>
  <si>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</si>
  <si>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</si>
  <si>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</si>
  <si>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</si>
  <si>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</si>
  <si>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</si>
  <si>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</si>
  <si>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</si>
  <si>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</si>
  <si>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</si>
  <si>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</si>
  <si>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</si>
  <si>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</si>
  <si>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</si>
  <si>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</si>
  <si>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</si>
  <si>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</si>
  <si>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</si>
  <si>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</si>
  <si>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</si>
  <si>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</si>
  <si>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</si>
  <si>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</si>
  <si>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</si>
  <si>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</si>
  <si>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</si>
  <si>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</si>
  <si>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</si>
  <si>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</si>
  <si>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</si>
  <si>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</si>
  <si>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</si>
  <si>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</si>
  <si>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</si>
  <si>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</si>
  <si>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</si>
  <si>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</si>
  <si>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</si>
  <si>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</si>
  <si>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</si>
  <si>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</si>
  <si>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</si>
  <si>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</si>
  <si>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</si>
  <si>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</si>
  <si>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</si>
  <si>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</si>
  <si>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</si>
  <si>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</si>
  <si>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</si>
  <si>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</si>
  <si>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</si>
  <si>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</si>
  <si>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</si>
  <si>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</si>
  <si>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</si>
  <si>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</si>
  <si>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</si>
  <si>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</si>
  <si>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</si>
  <si>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</si>
  <si>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</si>
  <si>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</si>
  <si>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</si>
  <si>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</si>
  <si>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</si>
  <si>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</si>
  <si>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</si>
  <si>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</si>
  <si>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</si>
  <si>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</si>
  <si>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</si>
  <si>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</si>
  <si>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</si>
  <si>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</si>
  <si>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</si>
  <si>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</si>
  <si>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</si>
  <si>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</si>
  <si>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</si>
  <si>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</si>
  <si>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</si>
  <si>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</si>
  <si>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</si>
  <si>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</si>
  <si>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</si>
  <si>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</si>
  <si>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</si>
  <si>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</si>
  <si>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</si>
  <si>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</si>
  <si>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</si>
  <si>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</si>
  <si>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</si>
  <si>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</si>
  <si>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</si>
  <si>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</si>
  <si>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</si>
  <si>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</si>
  <si>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</si>
  <si>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</si>
  <si>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</si>
  <si>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</si>
  <si>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</si>
  <si>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</si>
  <si>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</si>
  <si>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</si>
  <si>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</si>
  <si>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WARREN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</si>
</sst>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41"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231351+250-1</f>
        <v>231600</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137308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30586</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1906</v>
      </c>
      <c r="G13" s="18">
        <v>13828</v>
      </c>
      <c r="H13" s="18">
        <v>6027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1507</v>
      </c>
      <c r="G14" s="18">
        <v>317</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475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235488</v>
      </c>
      <c r="G19" s="41">
        <f>SUM(G9:G18)</f>
        <v>14145</v>
      </c>
      <c r="H19" s="41">
        <f>SUM(H9:H18)</f>
        <v>36613</v>
      </c>
      <c r="I19" s="41">
        <f>SUM(I9:I18)</f>
        <v>0</v>
      </c>
      <c r="J19" s="41">
        <f>SUM(J9:J18)</f>
        <v>137308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26190</v>
      </c>
      <c r="G22" s="18">
        <v>4396</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43434+122</f>
        <v>43556</v>
      </c>
      <c r="G24" s="18">
        <f>9748+1</f>
        <v>9749</v>
      </c>
      <c r="H24" s="18">
        <v>850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253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35763</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69999</v>
      </c>
      <c r="G32" s="41">
        <f>SUM(G22:G31)</f>
        <v>14145</v>
      </c>
      <c r="H32" s="41">
        <f>SUM(H22:H31)</f>
        <v>36613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475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32727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137308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35333+(2167767-2120813)</f>
        <v>82287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165489</v>
      </c>
      <c r="G51" s="41">
        <f>SUM(G35:G50)</f>
        <v>0</v>
      </c>
      <c r="H51" s="41">
        <f>SUM(H35:H50)</f>
        <v>0</v>
      </c>
      <c r="I51" s="41">
        <f>SUM(I35:I50)</f>
        <v>0</v>
      </c>
      <c r="J51" s="41">
        <f>SUM(J35:J50)</f>
        <v>137308</v>
      </c>
      <c r="K51" s="45" t="s">
        <v>288</v>
      </c>
      <c r="L51" s="45" t="s">
        <v>288</v>
      </c>
      <c r="N51" s="264"/>
    </row>
    <row r="52" spans="1:14" s="3" customFormat="1" ht="12.2" customHeight="1" thickTop="1" x14ac:dyDescent="0.15">
      <c r="A52" s="38" t="s">
        <v>455</v>
      </c>
      <c r="B52" s="39" t="s">
        <v>289</v>
      </c>
      <c r="C52" s="6">
        <v>37</v>
      </c>
      <c r="D52" s="39" t="s">
        <v>653</v>
      </c>
      <c r="E52" s="39"/>
      <c r="F52" s="41">
        <f>F51+F32</f>
        <v>235488</v>
      </c>
      <c r="G52" s="41">
        <f>G51+G32</f>
        <v>14145</v>
      </c>
      <c r="H52" s="41">
        <f>H51+H32</f>
        <v>36613</v>
      </c>
      <c r="I52" s="41">
        <f>I51+I32</f>
        <v>0</v>
      </c>
      <c r="J52" s="41">
        <f>J51+J32</f>
        <v>137308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1172720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1172720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297</v>
      </c>
      <c r="G96" s="18"/>
      <c r="H96" s="18"/>
      <c r="I96" s="18"/>
      <c r="J96" s="18">
        <v>69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3643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10182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312</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5990+1</f>
        <v>5991</v>
      </c>
      <c r="G110" s="18">
        <v>319</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6600</v>
      </c>
      <c r="G111" s="41">
        <f>SUM(G96:G110)</f>
        <v>3962</v>
      </c>
      <c r="H111" s="41">
        <f>SUM(H96:H110)</f>
        <v>10182</v>
      </c>
      <c r="I111" s="41">
        <f>SUM(I96:I110)</f>
        <v>0</v>
      </c>
      <c r="J111" s="41">
        <f>SUM(J96:J110)</f>
        <v>69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1179320</v>
      </c>
      <c r="G112" s="41">
        <f>G60+G111</f>
        <v>3962</v>
      </c>
      <c r="H112" s="41">
        <f>H60+H79+H94+H111</f>
        <v>10182</v>
      </c>
      <c r="I112" s="41">
        <f>I60+I111</f>
        <v>0</v>
      </c>
      <c r="J112" s="41">
        <f>J60+J111</f>
        <v>69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802801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136364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939165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28500</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2526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379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31026</v>
      </c>
      <c r="G136" s="41">
        <f>SUM(G123:G135)</f>
        <v>379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970191</v>
      </c>
      <c r="G140" s="41">
        <f>G121+SUM(G136:G137)</f>
        <v>379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5041</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30280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3602+5656</f>
        <v>9258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104+4794+4092+10198+20487</f>
        <v>39675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27670</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9495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9495</v>
      </c>
      <c r="G163" s="41">
        <f>SUM(G150:G162)</f>
        <v>39675</v>
      </c>
      <c r="H163" s="41">
        <f>SUM(H150:H162)</f>
        <v>72249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8761</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18256</v>
      </c>
      <c r="G170" s="41">
        <f>G147+G163+SUM(G164:G169)</f>
        <v>39675</v>
      </c>
      <c r="H170" s="41">
        <f>H147+H163+SUM(H164:H169)</f>
        <v>72249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14717</v>
      </c>
      <c r="H180" s="18"/>
      <c r="I180" s="18"/>
      <c r="J180" s="18">
        <v>30000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14717</v>
      </c>
      <c r="H184" s="41">
        <f>SUM(H180:H183)</f>
        <v>0</v>
      </c>
      <c r="I184" s="41">
        <f>SUM(I180:I183)</f>
        <v>0</v>
      </c>
      <c r="J184" s="41">
        <f>SUM(J180:J183)</f>
        <v>30000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14717</v>
      </c>
      <c r="H193" s="41">
        <f>+H184+SUM(H189:H192)</f>
        <v>0</v>
      </c>
      <c r="I193" s="41">
        <f>I178+I184+SUM(I189:I192)</f>
        <v>0</v>
      </c>
      <c r="J193" s="41">
        <f>J184</f>
        <v>30000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2167767</v>
      </c>
      <c r="G194" s="47">
        <f>G112+G140+G170+G193</f>
        <v>58733</v>
      </c>
      <c r="H194" s="47">
        <f>H112+H140+H170+H193</f>
        <v>82431</v>
      </c>
      <c r="I194" s="47">
        <f>I112+I140+I170+I193</f>
        <v>0</v>
      </c>
      <c r="J194" s="47">
        <f>J112+J140+J193</f>
        <v>30069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378076</v>
      </c>
      <c r="G198" s="18">
        <v>209964</v>
      </c>
      <c r="H198" s="18">
        <f>41078</f>
        <v>41078</v>
      </c>
      <c r="I198" s="18">
        <v>15067</v>
      </c>
      <c r="J198" s="18">
        <v>1917</v>
      </c>
      <c r="K198" s="18"/>
      <c r="L198" s="19">
        <f>SUM(F198:K198)</f>
        <v>646102</v>
      </c>
      <c r="M198" s="8"/>
      <c r="N198" s="266"/>
    </row>
    <row r="199" spans="1:14" s="3" customFormat="1" ht="12.2" customHeight="1" x14ac:dyDescent="0.15">
      <c r="A199" s="1" t="s">
        <v>439</v>
      </c>
      <c r="B199" s="2" t="s">
        <v>341</v>
      </c>
      <c r="C199" s="2" t="s">
        <v>291</v>
      </c>
      <c r="D199" s="2" t="s">
        <v>431</v>
      </c>
      <c r="E199" s="6">
        <v>1200</v>
      </c>
      <c r="F199" s="18">
        <v>113651</v>
      </c>
      <c r="G199" s="18">
        <v>61488</v>
      </c>
      <c r="H199" s="18">
        <v>4239</v>
      </c>
      <c r="I199" s="18">
        <v>411</v>
      </c>
      <c r="J199" s="18"/>
      <c r="K199" s="18"/>
      <c r="L199" s="19">
        <f>SUM(F199:K199)</f>
        <v>179789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8071</v>
      </c>
      <c r="G201" s="18">
        <v>2040</v>
      </c>
      <c r="H201" s="18">
        <v>100</v>
      </c>
      <c r="I201" s="18">
        <v>180</v>
      </c>
      <c r="J201" s="18"/>
      <c r="K201" s="18"/>
      <c r="L201" s="19">
        <f>SUM(F201:K201)</f>
        <v>10391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52725</v>
      </c>
      <c r="G203" s="18">
        <v>15832</v>
      </c>
      <c r="H203" s="18">
        <f>70108+760</f>
        <v>70868</v>
      </c>
      <c r="I203" s="18">
        <v>3780</v>
      </c>
      <c r="J203" s="18"/>
      <c r="K203" s="18">
        <v>755</v>
      </c>
      <c r="L203" s="19">
        <f t="shared" ref="L203:L209" si="0">SUM(F203:K203)</f>
        <v>143960</v>
      </c>
      <c r="M203" s="8"/>
      <c r="N203" s="266"/>
    </row>
    <row r="204" spans="1:14" s="3" customFormat="1" ht="12.2" customHeight="1" x14ac:dyDescent="0.15">
      <c r="A204" s="1" t="s">
        <v>443</v>
      </c>
      <c r="B204" s="2" t="s">
        <v>341</v>
      </c>
      <c r="C204" s="2" t="s">
        <v>295</v>
      </c>
      <c r="D204" s="2" t="s">
        <v>431</v>
      </c>
      <c r="E204" s="6">
        <v>2200</v>
      </c>
      <c r="F204" s="18">
        <v>1700</v>
      </c>
      <c r="G204" s="18">
        <v>4703</v>
      </c>
      <c r="H204" s="18">
        <f>1693+565</f>
        <v>2258</v>
      </c>
      <c r="I204" s="18">
        <v>2875</v>
      </c>
      <c r="J204" s="18">
        <v>20834</v>
      </c>
      <c r="K204" s="18"/>
      <c r="L204" s="19">
        <f t="shared" si="0"/>
        <v>32370</v>
      </c>
      <c r="M204" s="8"/>
      <c r="N204" s="266"/>
    </row>
    <row r="205" spans="1:14" s="3" customFormat="1" ht="12.2" customHeight="1" x14ac:dyDescent="0.15">
      <c r="A205" s="1" t="s">
        <v>444</v>
      </c>
      <c r="B205" s="2" t="s">
        <v>341</v>
      </c>
      <c r="C205" s="2" t="s">
        <v>296</v>
      </c>
      <c r="D205" s="2" t="s">
        <v>431</v>
      </c>
      <c r="E205" s="6">
        <v>2300</v>
      </c>
      <c r="F205" s="18">
        <v>1606</v>
      </c>
      <c r="G205" s="18">
        <v>123</v>
      </c>
      <c r="H205" s="18">
        <f>90428+1916</f>
        <v>92344</v>
      </c>
      <c r="I205" s="18">
        <v>677</v>
      </c>
      <c r="J205" s="18"/>
      <c r="K205" s="18">
        <v>1640</v>
      </c>
      <c r="L205" s="19">
        <f t="shared" si="0"/>
        <v>96390</v>
      </c>
      <c r="M205" s="8"/>
      <c r="N205" s="266"/>
    </row>
    <row r="206" spans="1:14" s="3" customFormat="1" ht="12.2" customHeight="1" x14ac:dyDescent="0.15">
      <c r="A206" s="1" t="s">
        <v>445</v>
      </c>
      <c r="B206" s="2" t="s">
        <v>341</v>
      </c>
      <c r="C206" s="2" t="s">
        <v>297</v>
      </c>
      <c r="D206" s="2" t="s">
        <v>431</v>
      </c>
      <c r="E206" s="6">
        <v>2400</v>
      </c>
      <c r="F206" s="18">
        <v>94649</v>
      </c>
      <c r="G206" s="18">
        <v>50415</v>
      </c>
      <c r="H206" s="18">
        <v>3683</v>
      </c>
      <c r="I206" s="18">
        <v>1487</v>
      </c>
      <c r="J206" s="18"/>
      <c r="K206" s="18">
        <v>87</v>
      </c>
      <c r="L206" s="19">
        <f t="shared" si="0"/>
        <v>150321</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37449</f>
        <v>37449</v>
      </c>
      <c r="G208" s="18">
        <v>16719</v>
      </c>
      <c r="H208" s="18">
        <f>27356+1025</f>
        <v>28381</v>
      </c>
      <c r="I208" s="18">
        <v>39199</v>
      </c>
      <c r="J208" s="18">
        <v>10740</v>
      </c>
      <c r="K208" s="18"/>
      <c r="L208" s="19">
        <f t="shared" si="0"/>
        <v>132488</v>
      </c>
      <c r="M208" s="8"/>
      <c r="N208" s="266"/>
    </row>
    <row r="209" spans="1:14" s="3" customFormat="1" ht="12.2" customHeight="1" x14ac:dyDescent="0.15">
      <c r="A209" s="1" t="s">
        <v>448</v>
      </c>
      <c r="B209" s="2" t="s">
        <v>341</v>
      </c>
      <c r="C209" s="2" t="s">
        <v>300</v>
      </c>
      <c r="D209" s="2" t="s">
        <v>431</v>
      </c>
      <c r="E209" s="6">
        <v>2700</v>
      </c>
      <c r="F209" s="18"/>
      <c r="G209" s="18"/>
      <c r="H209" s="18">
        <v>92391</v>
      </c>
      <c r="I209" s="18"/>
      <c r="J209" s="18"/>
      <c r="K209" s="18"/>
      <c r="L209" s="19">
        <f t="shared" si="0"/>
        <v>92391</v>
      </c>
      <c r="M209" s="8"/>
      <c r="N209" s="266"/>
    </row>
    <row r="210" spans="1:14" s="3" customFormat="1" ht="12.2" customHeight="1" x14ac:dyDescent="0.15">
      <c r="A210" s="1" t="s">
        <v>449</v>
      </c>
      <c r="B210" s="2" t="s">
        <v>341</v>
      </c>
      <c r="C210" s="2" t="s">
        <v>343</v>
      </c>
      <c r="D210" s="2" t="s">
        <v>431</v>
      </c>
      <c r="E210" s="6">
        <v>2800</v>
      </c>
      <c r="F210" s="18"/>
      <c r="G210" s="18"/>
      <c r="H210" s="18">
        <v>7636</v>
      </c>
      <c r="I210" s="18">
        <v>324</v>
      </c>
      <c r="J210" s="18">
        <v>487</v>
      </c>
      <c r="K210" s="18"/>
      <c r="L210" s="19">
        <f>SUM(F210:K210)</f>
        <v>8447</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687927</v>
      </c>
      <c r="G212" s="41">
        <f t="shared" si="1"/>
        <v>361284</v>
      </c>
      <c r="H212" s="41">
        <f t="shared" si="1"/>
        <v>342978</v>
      </c>
      <c r="I212" s="41">
        <f t="shared" si="1"/>
        <v>64000</v>
      </c>
      <c r="J212" s="41">
        <f t="shared" si="1"/>
        <v>33978</v>
      </c>
      <c r="K212" s="41">
        <f t="shared" si="1"/>
        <v>2482</v>
      </c>
      <c r="L212" s="41">
        <f t="shared" si="1"/>
        <v>1492649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385280</v>
      </c>
      <c r="I234" s="18"/>
      <c r="J234" s="18"/>
      <c r="K234" s="18"/>
      <c r="L234" s="19">
        <f>SUM(F234:K234)</f>
        <v>385280</v>
      </c>
      <c r="M234" s="8"/>
      <c r="N234" s="266"/>
    </row>
    <row r="235" spans="1:14" s="3" customFormat="1" ht="12.2" customHeight="1" x14ac:dyDescent="0.15">
      <c r="A235" s="1" t="s">
        <v>439</v>
      </c>
      <c r="B235" s="2" t="s">
        <v>350</v>
      </c>
      <c r="C235" s="2" t="s">
        <v>291</v>
      </c>
      <c r="D235" s="2" t="s">
        <v>431</v>
      </c>
      <c r="E235" s="6">
        <v>1200</v>
      </c>
      <c r="F235" s="18"/>
      <c r="G235" s="18"/>
      <c r="H235" s="18">
        <f>1650+36398</f>
        <v>38048</v>
      </c>
      <c r="I235" s="18">
        <v>22</v>
      </c>
      <c r="J235" s="18"/>
      <c r="K235" s="18"/>
      <c r="L235" s="19">
        <f>SUM(F235:K235)</f>
        <v>38070</v>
      </c>
      <c r="M235" s="8"/>
      <c r="N235" s="266"/>
    </row>
    <row r="236" spans="1:14" s="3" customFormat="1" ht="12.2" customHeight="1" x14ac:dyDescent="0.15">
      <c r="A236" s="1" t="s">
        <v>440</v>
      </c>
      <c r="B236" s="2" t="s">
        <v>350</v>
      </c>
      <c r="C236" s="2" t="s">
        <v>292</v>
      </c>
      <c r="D236" s="2" t="s">
        <v>431</v>
      </c>
      <c r="E236" s="6">
        <v>1300</v>
      </c>
      <c r="F236" s="18"/>
      <c r="G236" s="18"/>
      <c r="H236" s="18">
        <v>78261</v>
      </c>
      <c r="I236" s="18"/>
      <c r="J236" s="18"/>
      <c r="K236" s="18"/>
      <c r="L236" s="19">
        <f>SUM(F236:K236)</f>
        <v>78261</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1834</v>
      </c>
      <c r="I239" s="18"/>
      <c r="J239" s="18"/>
      <c r="K239" s="18"/>
      <c r="L239" s="19">
        <f t="shared" ref="L239:L245" si="4">SUM(F239:K239)</f>
        <v>1834</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f>688</f>
        <v>688</v>
      </c>
      <c r="G241" s="18">
        <v>53</v>
      </c>
      <c r="H241" s="18">
        <f>38755+821</f>
        <v>39576</v>
      </c>
      <c r="I241" s="18">
        <v>217</v>
      </c>
      <c r="J241" s="18"/>
      <c r="K241" s="18">
        <v>690</v>
      </c>
      <c r="L241" s="19">
        <f t="shared" si="4"/>
        <v>41224</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38778</v>
      </c>
      <c r="I245" s="18"/>
      <c r="J245" s="18"/>
      <c r="K245" s="18"/>
      <c r="L245" s="19">
        <f t="shared" si="4"/>
        <v>38778</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688</v>
      </c>
      <c r="G248" s="41">
        <f t="shared" si="5"/>
        <v>53</v>
      </c>
      <c r="H248" s="41">
        <f t="shared" si="5"/>
        <v>581777</v>
      </c>
      <c r="I248" s="41">
        <f t="shared" si="5"/>
        <v>239</v>
      </c>
      <c r="J248" s="41">
        <f t="shared" si="5"/>
        <v>0</v>
      </c>
      <c r="K248" s="41">
        <f t="shared" si="5"/>
        <v>690</v>
      </c>
      <c r="L248" s="41">
        <f t="shared" si="5"/>
        <v>583447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688615</v>
      </c>
      <c r="G258" s="41">
        <f t="shared" si="8"/>
        <v>361337</v>
      </c>
      <c r="H258" s="41">
        <f t="shared" si="8"/>
        <v>924755</v>
      </c>
      <c r="I258" s="41">
        <f t="shared" si="8"/>
        <v>64239</v>
      </c>
      <c r="J258" s="41">
        <f t="shared" si="8"/>
        <v>33978</v>
      </c>
      <c r="K258" s="41">
        <f t="shared" si="8"/>
        <v>3172</v>
      </c>
      <c r="L258" s="41">
        <f t="shared" si="8"/>
        <v>2076096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14717</v>
      </c>
      <c r="L264" s="19">
        <f>SUM(F264:K264)</f>
        <v>14717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44717</v>
      </c>
      <c r="L271" s="41">
        <f t="shared" si="9"/>
        <v>44717</v>
      </c>
      <c r="M271" s="8"/>
      <c r="N271" s="266"/>
    </row>
    <row r="272" spans="1:14" s="34" customFormat="1" ht="12.2" customHeight="1" thickTop="1" x14ac:dyDescent="0.2">
      <c r="A272" s="43" t="s">
        <v>464</v>
      </c>
      <c r="B272" s="40">
        <v>10</v>
      </c>
      <c r="C272" s="40">
        <v>18</v>
      </c>
      <c r="D272" s="39" t="s">
        <v>431</v>
      </c>
      <c r="E272" s="40"/>
      <c r="F272" s="42">
        <f t="shared" ref="F272:L272" si="11">F258+F271</f>
        <v>688615</v>
      </c>
      <c r="G272" s="42">
        <f t="shared" si="11"/>
        <v>361337</v>
      </c>
      <c r="H272" s="42">
        <f t="shared" si="11"/>
        <v>924755</v>
      </c>
      <c r="I272" s="42">
        <f t="shared" si="11"/>
        <v>64239</v>
      </c>
      <c r="J272" s="42">
        <f t="shared" si="11"/>
        <v>33978</v>
      </c>
      <c r="K272" s="42">
        <f t="shared" si="11"/>
        <v>47889</v>
      </c>
      <c r="L272" s="42">
        <f t="shared" si="11"/>
        <v>2120813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20169</v>
      </c>
      <c r="G277" s="18">
        <v>9133</v>
      </c>
      <c r="H277" s="18"/>
      <c r="I277" s="18">
        <v>1966</v>
      </c>
      <c r="J277" s="18"/>
      <c r="K277" s="18"/>
      <c r="L277" s="19">
        <f>SUM(F277:K277)</f>
        <v>31268</v>
      </c>
      <c r="M277" s="8"/>
      <c r="N277" s="266"/>
    </row>
    <row r="278" spans="1:14" s="3" customFormat="1" ht="12.2" customHeight="1" x14ac:dyDescent="0.15">
      <c r="A278" s="1" t="s">
        <v>439</v>
      </c>
      <c r="B278" s="2" t="s">
        <v>357</v>
      </c>
      <c r="C278" s="2" t="s">
        <v>291</v>
      </c>
      <c r="D278" s="2" t="s">
        <v>431</v>
      </c>
      <c r="E278" s="6">
        <v>1200</v>
      </c>
      <c r="F278" s="18">
        <f>6968+4539-2</f>
        <v>11505</v>
      </c>
      <c r="G278" s="18">
        <f>533+2656</f>
        <v>3189</v>
      </c>
      <c r="H278" s="18">
        <v>19</v>
      </c>
      <c r="I278" s="18">
        <v>496</v>
      </c>
      <c r="J278" s="18">
        <v>297</v>
      </c>
      <c r="K278" s="18"/>
      <c r="L278" s="19">
        <f>SUM(F278:K278)</f>
        <v>15506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v>715</v>
      </c>
      <c r="J280" s="18"/>
      <c r="K280" s="18"/>
      <c r="L280" s="19">
        <f>SUM(F280:K280)</f>
        <v>715</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10694+204+607</f>
        <v>11505</v>
      </c>
      <c r="G282" s="18">
        <f>354+6708+119</f>
        <v>7181</v>
      </c>
      <c r="H282" s="18">
        <f>69+167+30</f>
        <v>266</v>
      </c>
      <c r="I282" s="18">
        <f>24</f>
        <v>24</v>
      </c>
      <c r="J282" s="18"/>
      <c r="K282" s="18"/>
      <c r="L282" s="19">
        <f t="shared" ref="L282:L288" si="12">SUM(F282:K282)</f>
        <v>18976</v>
      </c>
      <c r="M282" s="8"/>
      <c r="N282" s="266"/>
    </row>
    <row r="283" spans="1:14" s="3" customFormat="1" ht="12.2" customHeight="1" x14ac:dyDescent="0.15">
      <c r="A283" s="1" t="s">
        <v>443</v>
      </c>
      <c r="B283" s="2" t="s">
        <v>357</v>
      </c>
      <c r="C283" s="2" t="s">
        <v>295</v>
      </c>
      <c r="D283" s="2" t="s">
        <v>431</v>
      </c>
      <c r="E283" s="6">
        <v>2200</v>
      </c>
      <c r="F283" s="18">
        <v>1500</v>
      </c>
      <c r="G283" s="18">
        <v>382</v>
      </c>
      <c r="H283" s="18">
        <f>1566+9440+1070+209</f>
        <v>12285</v>
      </c>
      <c r="I283" s="18">
        <v>341</v>
      </c>
      <c r="J283" s="18"/>
      <c r="K283" s="18"/>
      <c r="L283" s="19">
        <f t="shared" si="12"/>
        <v>14508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978</v>
      </c>
      <c r="L284" s="19">
        <f t="shared" si="12"/>
        <v>978</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v>480</v>
      </c>
      <c r="I289" s="18"/>
      <c r="J289" s="18"/>
      <c r="K289" s="18"/>
      <c r="L289" s="19">
        <f>SUM(F289:K289)</f>
        <v>480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44679</v>
      </c>
      <c r="G291" s="42">
        <f t="shared" si="13"/>
        <v>19885</v>
      </c>
      <c r="H291" s="42">
        <f t="shared" si="13"/>
        <v>13050</v>
      </c>
      <c r="I291" s="42">
        <f t="shared" si="13"/>
        <v>3542</v>
      </c>
      <c r="J291" s="42">
        <f t="shared" si="13"/>
        <v>297</v>
      </c>
      <c r="K291" s="42">
        <f t="shared" si="13"/>
        <v>978</v>
      </c>
      <c r="L291" s="41">
        <f t="shared" si="13"/>
        <v>82431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44679</v>
      </c>
      <c r="G339" s="41">
        <f t="shared" si="20"/>
        <v>19885</v>
      </c>
      <c r="H339" s="41">
        <f t="shared" si="20"/>
        <v>13050</v>
      </c>
      <c r="I339" s="41">
        <f t="shared" si="20"/>
        <v>3542</v>
      </c>
      <c r="J339" s="41">
        <f t="shared" si="20"/>
        <v>297</v>
      </c>
      <c r="K339" s="41">
        <f t="shared" si="20"/>
        <v>978</v>
      </c>
      <c r="L339" s="41">
        <f t="shared" si="20"/>
        <v>82431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44679</v>
      </c>
      <c r="G353" s="41">
        <f>G339</f>
        <v>19885</v>
      </c>
      <c r="H353" s="41">
        <f>H339</f>
        <v>13050</v>
      </c>
      <c r="I353" s="41">
        <f>I339</f>
        <v>3542</v>
      </c>
      <c r="J353" s="41">
        <f>J339</f>
        <v>297</v>
      </c>
      <c r="K353" s="47">
        <f>K339+K352</f>
        <v>978</v>
      </c>
      <c r="L353" s="41">
        <f>L339+L352</f>
        <v>82431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100</v>
      </c>
      <c r="G359" s="18">
        <v>8</v>
      </c>
      <c r="H359" s="18">
        <f>58598+191</f>
        <v>58789</v>
      </c>
      <c r="I359" s="18">
        <v>77</v>
      </c>
      <c r="J359" s="18"/>
      <c r="K359" s="18"/>
      <c r="L359" s="13">
        <f>SUM(F359:K359)</f>
        <v>58974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100</v>
      </c>
      <c r="G363" s="47">
        <f t="shared" si="22"/>
        <v>8</v>
      </c>
      <c r="H363" s="47">
        <f t="shared" si="22"/>
        <v>58789</v>
      </c>
      <c r="I363" s="47">
        <f t="shared" si="22"/>
        <v>77</v>
      </c>
      <c r="J363" s="47">
        <f t="shared" si="22"/>
        <v>0</v>
      </c>
      <c r="K363" s="47">
        <f t="shared" si="22"/>
        <v>0</v>
      </c>
      <c r="L363" s="47">
        <f t="shared" si="22"/>
        <v>58974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77</v>
      </c>
      <c r="G369" s="63"/>
      <c r="H369" s="63"/>
      <c r="I369" s="56">
        <f>SUM(F369:H369)</f>
        <v>77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77</v>
      </c>
      <c r="G370" s="47">
        <f>SUM(G368:G369)</f>
        <v>0</v>
      </c>
      <c r="H370" s="47">
        <f>SUM(H368:H369)</f>
        <v>0</v>
      </c>
      <c r="I370" s="47">
        <f>SUM(I368:I369)</f>
        <v>77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0</v>
      </c>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v>
      </c>
      <c r="H397" s="18">
        <v>15</v>
      </c>
      <c r="I397" s="18"/>
      <c r="J397" s="24" t="s">
        <v>288</v>
      </c>
      <c r="K397" s="24" t="s">
        <v>288</v>
      </c>
      <c r="L397" s="56">
        <f t="shared" si="26"/>
        <v>10015</v>
      </c>
      <c r="M397" s="8"/>
      <c r="N397" s="266"/>
    </row>
    <row r="398" spans="1:14" s="3" customFormat="1" ht="12.2" customHeight="1" x14ac:dyDescent="0.15">
      <c r="A398" s="79" t="s">
        <v>515</v>
      </c>
      <c r="B398" s="2" t="s">
        <v>381</v>
      </c>
      <c r="C398" s="6">
        <v>10</v>
      </c>
      <c r="D398" s="2" t="s">
        <v>432</v>
      </c>
      <c r="E398" s="6"/>
      <c r="F398" s="18"/>
      <c r="G398" s="18">
        <v>10000</v>
      </c>
      <c r="H398" s="18">
        <v>36</v>
      </c>
      <c r="I398" s="18"/>
      <c r="J398" s="24" t="s">
        <v>288</v>
      </c>
      <c r="K398" s="24" t="s">
        <v>288</v>
      </c>
      <c r="L398" s="56">
        <f t="shared" si="26"/>
        <v>10036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v>10000</v>
      </c>
      <c r="H400" s="18">
        <v>18</v>
      </c>
      <c r="I400" s="18"/>
      <c r="J400" s="24" t="s">
        <v>288</v>
      </c>
      <c r="K400" s="24" t="s">
        <v>288</v>
      </c>
      <c r="L400" s="56">
        <f t="shared" si="26"/>
        <v>10018</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69</v>
      </c>
      <c r="I402" s="47">
        <f>SUM(I396:I401)</f>
        <v>0</v>
      </c>
      <c r="J402" s="45" t="s">
        <v>288</v>
      </c>
      <c r="K402" s="45" t="s">
        <v>288</v>
      </c>
      <c r="L402" s="47">
        <f>SUM(L396:L401)</f>
        <v>30069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30000</v>
      </c>
      <c r="H409" s="47">
        <f>H394+H402+H408</f>
        <v>69</v>
      </c>
      <c r="I409" s="47">
        <f>I394+I402+I408</f>
        <v>0</v>
      </c>
      <c r="J409" s="24" t="s">
        <v>288</v>
      </c>
      <c r="K409" s="24" t="s">
        <v>288</v>
      </c>
      <c r="L409" s="47">
        <f>L394+L402+L408</f>
        <v>30069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137308</v>
      </c>
      <c r="H441" s="18"/>
      <c r="I441" s="56">
        <f t="shared" si="33"/>
        <v>137308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137308</v>
      </c>
      <c r="H447" s="13">
        <f>SUM(H440:H446)</f>
        <v>0</v>
      </c>
      <c r="I447" s="13">
        <f>SUM(I440:I446)</f>
        <v>137308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137308</v>
      </c>
      <c r="H460" s="18"/>
      <c r="I460" s="56">
        <f t="shared" si="34"/>
        <v>137308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137308</v>
      </c>
      <c r="H461" s="83">
        <f>SUM(H455:H460)</f>
        <v>0</v>
      </c>
      <c r="I461" s="83">
        <f>SUM(I455:I460)</f>
        <v>137308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137308</v>
      </c>
      <c r="H462" s="42">
        <f>H453+H461</f>
        <v>0</v>
      </c>
      <c r="I462" s="42">
        <f>I453+I461</f>
        <v>137308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118535</v>
      </c>
      <c r="G466" s="18">
        <v>241</v>
      </c>
      <c r="H466" s="18">
        <v>0</v>
      </c>
      <c r="I466" s="18"/>
      <c r="J466" s="18">
        <v>107239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2167767</v>
      </c>
      <c r="G469" s="18">
        <v>58733</v>
      </c>
      <c r="H469" s="18">
        <f>54761+27670</f>
        <v>82431</v>
      </c>
      <c r="I469" s="18"/>
      <c r="J469" s="18">
        <v>30069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2167767</v>
      </c>
      <c r="G471" s="53">
        <f>SUM(G469:G470)</f>
        <v>58733</v>
      </c>
      <c r="H471" s="53">
        <f>SUM(H469:H470)</f>
        <v>82431</v>
      </c>
      <c r="I471" s="53">
        <f>SUM(I469:I470)</f>
        <v>0</v>
      </c>
      <c r="J471" s="53">
        <f>SUM(J469:J470)</f>
        <v>30069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2120813</v>
      </c>
      <c r="G473" s="18">
        <v>58974</v>
      </c>
      <c r="H473" s="18">
        <f>54761+27670</f>
        <v>82431</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2120813</v>
      </c>
      <c r="G475" s="53">
        <f>SUM(G473:G474)</f>
        <v>58974</v>
      </c>
      <c r="H475" s="53">
        <f>SUM(H473:H474)</f>
        <v>82431</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165489</v>
      </c>
      <c r="G477" s="53">
        <f>(G466+G471)- G475</f>
        <v>0</v>
      </c>
      <c r="H477" s="53">
        <f>(H466+H471)- H475</f>
        <v>0</v>
      </c>
      <c r="I477" s="53">
        <f>(I466+I471)- I475</f>
        <v>0</v>
      </c>
      <c r="J477" s="53">
        <f>(J466+J471)- J475</f>
        <v>137308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113651</v>
      </c>
      <c r="G522" s="18">
        <v>61488</v>
      </c>
      <c r="H522" s="18">
        <f>4239</f>
        <v>4239</v>
      </c>
      <c r="I522" s="18">
        <v>411</v>
      </c>
      <c r="J522" s="18"/>
      <c r="K522" s="18"/>
      <c r="L522" s="88">
        <f>SUM(F522:K522)</f>
        <v>179789</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1650+36398</f>
        <v>38048</v>
      </c>
      <c r="I524" s="18">
        <v>22</v>
      </c>
      <c r="J524" s="18"/>
      <c r="K524" s="18"/>
      <c r="L524" s="88">
        <f>SUM(F524:K524)</f>
        <v>38070</v>
      </c>
      <c r="N524" s="265"/>
    </row>
    <row r="525" spans="1:14" s="52" customFormat="1" ht="12.2" customHeight="1" thickTop="1" x14ac:dyDescent="0.2">
      <c r="A525" s="139" t="s">
        <v>63</v>
      </c>
      <c r="B525" s="107">
        <v>21</v>
      </c>
      <c r="C525" s="195">
        <v>4</v>
      </c>
      <c r="D525" s="196" t="s">
        <v>432</v>
      </c>
      <c r="E525" s="195"/>
      <c r="F525" s="108">
        <f>SUM(F522:F524)</f>
        <v>113651</v>
      </c>
      <c r="G525" s="108">
        <f t="shared" ref="G525:L525" si="36">SUM(G522:G524)</f>
        <v>61488</v>
      </c>
      <c r="H525" s="108">
        <f t="shared" si="36"/>
        <v>42287</v>
      </c>
      <c r="I525" s="108">
        <f t="shared" si="36"/>
        <v>433</v>
      </c>
      <c r="J525" s="108">
        <f t="shared" si="36"/>
        <v>0</v>
      </c>
      <c r="K525" s="108">
        <f t="shared" si="36"/>
        <v>0</v>
      </c>
      <c r="L525" s="89">
        <f t="shared" si="36"/>
        <v>217859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54196</v>
      </c>
      <c r="I527" s="18"/>
      <c r="J527" s="18"/>
      <c r="K527" s="18"/>
      <c r="L527" s="88">
        <f>SUM(F527:K527)</f>
        <v>54196</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1834</v>
      </c>
      <c r="I529" s="18"/>
      <c r="J529" s="18"/>
      <c r="K529" s="18"/>
      <c r="L529" s="88">
        <f>SUM(F529:K529)</f>
        <v>1834</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56030</v>
      </c>
      <c r="I530" s="89">
        <f t="shared" si="37"/>
        <v>0</v>
      </c>
      <c r="J530" s="89">
        <f t="shared" si="37"/>
        <v>0</v>
      </c>
      <c r="K530" s="89">
        <f t="shared" si="37"/>
        <v>0</v>
      </c>
      <c r="L530" s="89">
        <f t="shared" si="37"/>
        <v>56030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17074</v>
      </c>
      <c r="I532" s="18"/>
      <c r="J532" s="18"/>
      <c r="K532" s="18"/>
      <c r="L532" s="88">
        <f>SUM(F532:K532)</f>
        <v>17074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7317</v>
      </c>
      <c r="I534" s="18"/>
      <c r="J534" s="18"/>
      <c r="K534" s="18"/>
      <c r="L534" s="88">
        <f>SUM(F534:K534)</f>
        <v>7317</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24391</v>
      </c>
      <c r="I535" s="89">
        <f t="shared" si="38"/>
        <v>0</v>
      </c>
      <c r="J535" s="89">
        <f t="shared" si="38"/>
        <v>0</v>
      </c>
      <c r="K535" s="89">
        <f t="shared" si="38"/>
        <v>0</v>
      </c>
      <c r="L535" s="89">
        <f t="shared" si="38"/>
        <v>24391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4460</v>
      </c>
      <c r="I544" s="18"/>
      <c r="J544" s="18"/>
      <c r="K544" s="18"/>
      <c r="L544" s="88">
        <f>SUM(F544:K544)</f>
        <v>4460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4460</v>
      </c>
      <c r="I545" s="193">
        <f t="shared" si="40"/>
        <v>0</v>
      </c>
      <c r="J545" s="193">
        <f t="shared" si="40"/>
        <v>0</v>
      </c>
      <c r="K545" s="193">
        <f t="shared" si="40"/>
        <v>0</v>
      </c>
      <c r="L545" s="193">
        <f t="shared" si="40"/>
        <v>4460</v>
      </c>
      <c r="M545" s="8"/>
      <c r="N545" s="266"/>
    </row>
    <row r="546" spans="1:14" s="3" customFormat="1" ht="12.2" customHeight="1" thickTop="1" x14ac:dyDescent="0.15">
      <c r="A546" s="98" t="s">
        <v>72</v>
      </c>
      <c r="B546" s="107">
        <v>21</v>
      </c>
      <c r="C546" s="107">
        <v>21</v>
      </c>
      <c r="D546" s="158" t="s">
        <v>432</v>
      </c>
      <c r="E546" s="107"/>
      <c r="F546" s="89">
        <f>F525+F530+F535+F540+F545</f>
        <v>113651</v>
      </c>
      <c r="G546" s="89">
        <f t="shared" ref="G546:L546" si="41">G525+G530+G535+G540+G545</f>
        <v>61488</v>
      </c>
      <c r="H546" s="89">
        <f t="shared" si="41"/>
        <v>127168</v>
      </c>
      <c r="I546" s="89">
        <f t="shared" si="41"/>
        <v>433</v>
      </c>
      <c r="J546" s="89">
        <f t="shared" si="41"/>
        <v>0</v>
      </c>
      <c r="K546" s="89">
        <f t="shared" si="41"/>
        <v>0</v>
      </c>
      <c r="L546" s="89">
        <f t="shared" si="41"/>
        <v>302740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179789</v>
      </c>
      <c r="G550" s="87">
        <f>L527</f>
        <v>54196</v>
      </c>
      <c r="H550" s="87">
        <f>L532</f>
        <v>17074</v>
      </c>
      <c r="I550" s="87">
        <f>L537</f>
        <v>0</v>
      </c>
      <c r="J550" s="87">
        <f>L542</f>
        <v>0</v>
      </c>
      <c r="K550" s="87">
        <f>SUM(F550:J550)</f>
        <v>251059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38070</v>
      </c>
      <c r="G552" s="87">
        <f>L529</f>
        <v>1834</v>
      </c>
      <c r="H552" s="87">
        <f>L534</f>
        <v>7317</v>
      </c>
      <c r="I552" s="87">
        <f>L539</f>
        <v>0</v>
      </c>
      <c r="J552" s="87">
        <f>L544</f>
        <v>4460</v>
      </c>
      <c r="K552" s="87">
        <f>SUM(F552:J552)</f>
        <v>51681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217859</v>
      </c>
      <c r="G553" s="89">
        <f t="shared" si="42"/>
        <v>56030</v>
      </c>
      <c r="H553" s="89">
        <f t="shared" si="42"/>
        <v>24391</v>
      </c>
      <c r="I553" s="89">
        <f t="shared" si="42"/>
        <v>0</v>
      </c>
      <c r="J553" s="89">
        <f t="shared" si="42"/>
        <v>4460</v>
      </c>
      <c r="K553" s="89">
        <f t="shared" si="42"/>
        <v>302740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301034</v>
      </c>
      <c r="I576" s="87">
        <f>SUM(F576:H576)</f>
        <v>301034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84246</v>
      </c>
      <c r="I577" s="87">
        <f t="shared" ref="I577:I588" si="47">SUM(F577:H577)</f>
        <v>84246</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1739</v>
      </c>
      <c r="I581" s="87">
        <f t="shared" si="47"/>
        <v>1739</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34659</v>
      </c>
      <c r="I583" s="87">
        <f t="shared" si="47"/>
        <v>34659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78261</v>
      </c>
      <c r="I586" s="87">
        <f t="shared" si="47"/>
        <v>78261</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90641</v>
      </c>
      <c r="I592" s="18"/>
      <c r="J592" s="18">
        <f>30668-1</f>
        <v>30667</v>
      </c>
      <c r="K592" s="104">
        <f t="shared" ref="K592:K598" si="48">SUM(H592:J592)</f>
        <v>121308</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4460</v>
      </c>
      <c r="K593" s="104">
        <f t="shared" si="48"/>
        <v>4460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3651</f>
        <v>3651</v>
      </c>
      <c r="K594" s="104">
        <f t="shared" si="48"/>
        <v>3651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1750</v>
      </c>
      <c r="I596" s="18"/>
      <c r="J596" s="18"/>
      <c r="K596" s="104">
        <f t="shared" si="48"/>
        <v>1750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92391</v>
      </c>
      <c r="I599" s="108">
        <f>SUM(I592:I598)</f>
        <v>0</v>
      </c>
      <c r="J599" s="108">
        <f>SUM(J592:J598)</f>
        <v>38778</v>
      </c>
      <c r="K599" s="108">
        <f>SUM(K592:K598)</f>
        <v>131169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33978+297</f>
        <v>34275</v>
      </c>
      <c r="I605" s="18"/>
      <c r="J605" s="18"/>
      <c r="K605" s="104">
        <f>SUM(H605:J605)</f>
        <v>34275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34275</v>
      </c>
      <c r="I606" s="108">
        <f>SUM(I603:I605)</f>
        <v>0</v>
      </c>
      <c r="J606" s="108">
        <f>SUM(J603:J605)</f>
        <v>0</v>
      </c>
      <c r="K606" s="108">
        <f>SUM(K603:K605)</f>
        <v>34275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4371</v>
      </c>
      <c r="G612" s="18">
        <v>1101</v>
      </c>
      <c r="H612" s="18"/>
      <c r="I612" s="18"/>
      <c r="J612" s="18"/>
      <c r="K612" s="18"/>
      <c r="L612" s="88">
        <f>SUM(F612:K612)</f>
        <v>5472</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4371</v>
      </c>
      <c r="G615" s="108">
        <f t="shared" si="49"/>
        <v>1101</v>
      </c>
      <c r="H615" s="108">
        <f t="shared" si="49"/>
        <v>0</v>
      </c>
      <c r="I615" s="108">
        <f t="shared" si="49"/>
        <v>0</v>
      </c>
      <c r="J615" s="108">
        <f t="shared" si="49"/>
        <v>0</v>
      </c>
      <c r="K615" s="108">
        <f t="shared" si="49"/>
        <v>0</v>
      </c>
      <c r="L615" s="89">
        <f t="shared" si="49"/>
        <v>5472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235488</v>
      </c>
      <c r="H618" s="109">
        <f>SUM(F52)</f>
        <v>235488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14145</v>
      </c>
      <c r="H619" s="109">
        <f>SUM(G52)</f>
        <v>14145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36613</v>
      </c>
      <c r="H620" s="109">
        <f>SUM(H52)</f>
        <v>36613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137308</v>
      </c>
      <c r="H622" s="109">
        <f>SUM(J52)</f>
        <v>137308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165489</v>
      </c>
      <c r="H623" s="109">
        <f>F477</f>
        <v>165489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137308</v>
      </c>
      <c r="H627" s="109">
        <f>J477</f>
        <v>137308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2167767</v>
      </c>
      <c r="H628" s="104">
        <f>SUM(F469)</f>
        <v>2167767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58733</v>
      </c>
      <c r="H629" s="104">
        <f>SUM(G469)</f>
        <v>58733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82431</v>
      </c>
      <c r="H630" s="104">
        <f>SUM(H469)</f>
        <v>82431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30069</v>
      </c>
      <c r="H632" s="104">
        <f>SUM(J469)</f>
        <v>30069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2120813</v>
      </c>
      <c r="H633" s="104">
        <f>SUM(F473)</f>
        <v>2120813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82431</v>
      </c>
      <c r="H634" s="104">
        <f>SUM(H473)</f>
        <v>82431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77</v>
      </c>
      <c r="H635" s="104">
        <f>I370</f>
        <v>77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58974</v>
      </c>
      <c r="H636" s="104">
        <f>SUM(G473)</f>
        <v>58974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30069</v>
      </c>
      <c r="H638" s="164">
        <f>SUM(J469)</f>
        <v>30069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137308</v>
      </c>
      <c r="H641" s="104">
        <f>SUM(G462)</f>
        <v>137308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137308</v>
      </c>
      <c r="H643" s="104">
        <f>SUM(I462)</f>
        <v>137308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69</v>
      </c>
      <c r="H645" s="104">
        <f>H409</f>
        <v>69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30069</v>
      </c>
      <c r="H647" s="104">
        <f>L409</f>
        <v>30069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131169</v>
      </c>
      <c r="H648" s="104">
        <f>L209+L227+L245</f>
        <v>131169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34275</v>
      </c>
      <c r="H649" s="104">
        <f>(J258+J339)-(J256+J337)</f>
        <v>34275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92391</v>
      </c>
      <c r="H650" s="104">
        <f>H599</f>
        <v>92391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38778</v>
      </c>
      <c r="H652" s="104">
        <f>J599</f>
        <v>38778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14717</v>
      </c>
      <c r="H653" s="104">
        <f>K264+K346</f>
        <v>14717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1634054</v>
      </c>
      <c r="G661" s="19">
        <f>(L230+L310+L360)</f>
        <v>0</v>
      </c>
      <c r="H661" s="19">
        <f>(L248+L329+L361)</f>
        <v>583447</v>
      </c>
      <c r="I661" s="19">
        <f>SUM(F661:H661)</f>
        <v>2217501</v>
      </c>
      <c r="J661" s="13"/>
      <c r="K661" s="13"/>
      <c r="L661" s="13"/>
      <c r="M661" s="9"/>
    </row>
    <row r="662" spans="1:13" s="3" customFormat="1" ht="12.2" customHeight="1" x14ac:dyDescent="0.2">
      <c r="A662" s="1" t="s">
        <v>127</v>
      </c>
      <c r="F662" s="19">
        <f>(L359/IF(SUM(L359:L361)=0,1,SUM(L359:L361))*(SUM(G97:G110)))</f>
        <v>3962</v>
      </c>
      <c r="G662" s="19">
        <f>(L360/IF(SUM(L359:L361)=0,1,SUM(L359:L361))*(SUM(G97:G110)))</f>
        <v>0</v>
      </c>
      <c r="H662" s="19">
        <f>(L361/IF(SUM(L359:L361)=0,1,SUM(L359:L361))*(SUM(G97:G110)))</f>
        <v>0</v>
      </c>
      <c r="I662" s="19">
        <f>SUM(F662:H662)</f>
        <v>3962</v>
      </c>
      <c r="J662"/>
      <c r="K662" s="13"/>
      <c r="L662" s="13"/>
      <c r="M662" s="8"/>
    </row>
    <row r="663" spans="1:13" s="3" customFormat="1" ht="12.2" customHeight="1" x14ac:dyDescent="0.2">
      <c r="A663" s="1" t="s">
        <v>128</v>
      </c>
      <c r="F663" s="19">
        <f>(L209+L288)-(J209+J288)</f>
        <v>92391</v>
      </c>
      <c r="G663" s="19">
        <f>(L227+L307)-(J227+J307)</f>
        <v>0</v>
      </c>
      <c r="H663" s="19">
        <f>(L245+L326)-(J245+J326)</f>
        <v>38778</v>
      </c>
      <c r="I663" s="19">
        <f>SUM(F663:H663)</f>
        <v>131169</v>
      </c>
      <c r="J663"/>
      <c r="K663" s="13"/>
      <c r="L663" s="13"/>
      <c r="M663" s="9"/>
    </row>
    <row r="664" spans="1:13" s="3" customFormat="1" ht="12.2" customHeight="1" x14ac:dyDescent="0.15">
      <c r="A664" s="198" t="s">
        <v>129</v>
      </c>
      <c r="B664" s="169"/>
      <c r="C664" s="169"/>
      <c r="D664" s="169"/>
      <c r="E664" s="169"/>
      <c r="F664" s="199">
        <f>SUM(F576:F588)+SUM(H603:H605)+SUM(L612)</f>
        <v>39747</v>
      </c>
      <c r="G664" s="199">
        <f>SUM(G576:G588)+SUM(I603:I605)+L613</f>
        <v>0</v>
      </c>
      <c r="H664" s="199">
        <f>SUM(H576:H588)+SUM(J603:J605)+L614</f>
        <v>499939</v>
      </c>
      <c r="I664" s="19">
        <f>SUM(F664:H664)</f>
        <v>539686</v>
      </c>
      <c r="J664" s="13"/>
      <c r="K664" s="13"/>
      <c r="L664" s="13"/>
      <c r="M664" s="9"/>
    </row>
    <row r="665" spans="1:13" s="3" customFormat="1" ht="12.2" customHeight="1" x14ac:dyDescent="0.15">
      <c r="A665" s="1" t="s">
        <v>130</v>
      </c>
      <c r="F665" s="19">
        <f>F661-SUM(F662:F664)</f>
        <v>1497954</v>
      </c>
      <c r="G665" s="19">
        <f>G661-SUM(G662:G664)</f>
        <v>0</v>
      </c>
      <c r="H665" s="19">
        <f>H661-SUM(H662:H664)</f>
        <v>44730</v>
      </c>
      <c r="I665" s="19">
        <f>I661-SUM(I662:I664)</f>
        <v>1542684</v>
      </c>
      <c r="J665" s="13"/>
      <c r="K665" s="13"/>
      <c r="L665" s="13"/>
      <c r="M665" s="8"/>
    </row>
    <row r="666" spans="1:13" s="3" customFormat="1" ht="12.2" customHeight="1" x14ac:dyDescent="0.2">
      <c r="A666" s="1" t="s">
        <v>131</v>
      </c>
      <c r="F666" s="246">
        <v>67.709999999999994</v>
      </c>
      <c r="G666" s="247"/>
      <c r="H666" s="247"/>
      <c r="I666" s="19">
        <f>SUM(F666:H666)</f>
        <v>67.709999999999994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22123.08</v>
      </c>
      <c r="G668" s="19" t="e">
        <f>ROUND(G665/G666,2)</f>
        <v>#DIV/0!</v>
      </c>
      <c r="H668" s="19" t="e">
        <f>ROUND(H665/H666,2)</f>
        <v>#DIV/0!</v>
      </c>
      <c r="I668" s="19">
        <f>ROUND(I665/I666,2)</f>
        <v>22783.7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-44730</v>
      </c>
      <c r="I670" s="19">
        <f>SUM(F670:H670)</f>
        <v>-44730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22123.08</v>
      </c>
      <c r="G673" s="19" t="e">
        <f>ROUND((G665+G670)/(G666+G671),2)</f>
        <v>#DIV/0!</v>
      </c>
      <c r="H673" s="19" t="e">
        <f>ROUND((H665+H670)/(H666+H671),2)</f>
        <v>#DIV/0!</v>
      </c>
      <c r="I673" s="19">
        <f>ROUND((I665+I670)/(I666+I671),2)</f>
        <v>22123.08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2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WARREN SCHOOL DISTRICT</v>
      </c>
      <c r="C5" s="344"/>
      <c r="D5" s="344"/>
      <c r="E5" s="344"/>
      <c r="F5" s="344"/>
    </row>
    <row r="8" spans="1:9" ht="18" x14ac:dyDescent="0.25">
      <c r="A8" s="323" t="s">
        <v>1591</v>
      </c>
      <c r="F8" s="330" t="s">
        <v>1609</v>
      </c>
    </row>
    <row r="9" spans="1:9" ht="15" x14ac:dyDescent="0.2">
      <c r="A9" s="321" t="s">
        <v>1592</v>
      </c>
      <c r="B9" s="324">
        <f>'DOE25'!G97</f>
        <v>3643</v>
      </c>
      <c r="F9" s="321" t="s">
        <v>1605</v>
      </c>
    </row>
    <row r="10" spans="1:9" ht="15" x14ac:dyDescent="0.2">
      <c r="A10" s="321" t="s">
        <v>1593</v>
      </c>
      <c r="B10" s="324">
        <f>'DOE25'!G112-'DOE25'!G97</f>
        <v>319</v>
      </c>
      <c r="F10" s="321" t="s">
        <v>1606</v>
      </c>
    </row>
    <row r="11" spans="1:9" ht="15" x14ac:dyDescent="0.2">
      <c r="A11" s="321" t="s">
        <v>1594</v>
      </c>
      <c r="B11" s="324">
        <f>'DOE25'!G140</f>
        <v>379</v>
      </c>
      <c r="F11" s="321" t="s">
        <v>1607</v>
      </c>
    </row>
    <row r="12" spans="1:9" ht="15" x14ac:dyDescent="0.2">
      <c r="A12" s="321" t="s">
        <v>1595</v>
      </c>
      <c r="B12" s="324">
        <f>'DOE25'!G170</f>
        <v>39675</v>
      </c>
      <c r="F12" s="321" t="s">
        <v>1608</v>
      </c>
    </row>
    <row r="13" spans="1:9" ht="15" x14ac:dyDescent="0.2">
      <c r="A13" s="321" t="s">
        <v>1596</v>
      </c>
      <c r="B13" s="324">
        <f>'DOE25'!G193-'DOE25'!G180</f>
        <v>0</v>
      </c>
      <c r="F13" s="321" t="s">
        <v>1618</v>
      </c>
    </row>
    <row r="14" spans="1:9" ht="18" x14ac:dyDescent="0.25">
      <c r="A14" s="323" t="s">
        <v>732</v>
      </c>
      <c r="B14" s="325">
        <f>SUM(B9:B13)</f>
        <v>44016</v>
      </c>
    </row>
    <row r="16" spans="1:9" ht="18" x14ac:dyDescent="0.25">
      <c r="A16" s="323" t="s">
        <v>786</v>
      </c>
      <c r="F16" s="330" t="s">
        <v>1610</v>
      </c>
    </row>
    <row r="17" spans="1:6" ht="15" x14ac:dyDescent="0.2">
      <c r="A17" s="321" t="s">
        <v>1597</v>
      </c>
      <c r="B17" s="324">
        <f>'DOE25'!L363-'DOE25'!L362</f>
        <v>58974</v>
      </c>
      <c r="F17" s="321" t="s">
        <v>1611</v>
      </c>
    </row>
    <row r="18" spans="1:6" ht="15" x14ac:dyDescent="0.2">
      <c r="A18" s="321" t="s">
        <v>1598</v>
      </c>
      <c r="B18" s="338">
        <v>0</v>
      </c>
      <c r="F18" s="330" t="s">
        <v>1637</v>
      </c>
    </row>
    <row r="19" spans="1:6" ht="18" x14ac:dyDescent="0.25">
      <c r="A19" s="323" t="s">
        <v>725</v>
      </c>
      <c r="B19" s="325">
        <f>SUM(B17:B18)</f>
        <v>58974</v>
      </c>
    </row>
    <row r="21" spans="1:6" ht="18.75" thickBot="1" x14ac:dyDescent="0.3">
      <c r="A21" s="323" t="s">
        <v>1599</v>
      </c>
    </row>
    <row r="22" spans="1:6" ht="18.75" thickTop="1" x14ac:dyDescent="0.25">
      <c r="A22" s="323" t="s">
        <v>1600</v>
      </c>
      <c r="B22" s="329">
        <f>B14-B19</f>
        <v>-14958</v>
      </c>
      <c r="F22" s="321" t="s">
        <v>1612</v>
      </c>
    </row>
    <row r="26" spans="1:6" ht="18" x14ac:dyDescent="0.25">
      <c r="A26" s="323" t="s">
        <v>186</v>
      </c>
    </row>
    <row r="27" spans="1:6" ht="15" x14ac:dyDescent="0.2">
      <c r="A27" s="321" t="s">
        <v>1601</v>
      </c>
      <c r="B27" s="324">
        <f>'DOE25'!G180</f>
        <v>14717</v>
      </c>
      <c r="F27" s="321" t="s">
        <v>1613</v>
      </c>
    </row>
    <row r="28" spans="1:6" ht="15" x14ac:dyDescent="0.2">
      <c r="A28" s="321" t="s">
        <v>1603</v>
      </c>
      <c r="B28" s="324">
        <f>'DOE25'!L362</f>
        <v>0</v>
      </c>
      <c r="F28" s="321" t="s">
        <v>1614</v>
      </c>
    </row>
    <row r="31" spans="1:6" ht="15" x14ac:dyDescent="0.2">
      <c r="A31" s="321" t="s">
        <v>1640</v>
      </c>
      <c r="B31" s="324">
        <f>'DOE25'!G466</f>
        <v>241</v>
      </c>
      <c r="F31" s="321" t="s">
        <v>1615</v>
      </c>
    </row>
    <row r="33" spans="1:6" ht="15" x14ac:dyDescent="0.2">
      <c r="A33" s="321" t="s">
        <v>1641</v>
      </c>
      <c r="B33" s="324">
        <f>'DOE25'!G477</f>
        <v>0</v>
      </c>
      <c r="F33" s="321" t="s">
        <v>1616</v>
      </c>
    </row>
    <row r="36" spans="1:6" ht="15" x14ac:dyDescent="0.2">
      <c r="A36" s="321" t="s">
        <v>1602</v>
      </c>
      <c r="B36" s="339">
        <v>2762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WARREN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398245</v>
      </c>
      <c r="C9" s="229">
        <f>'DOE25'!G198+'DOE25'!G216+'DOE25'!G234+'DOE25'!G277+'DOE25'!G296+'DOE25'!G315</f>
        <v>219097</v>
      </c>
    </row>
    <row r="10" spans="1:3" x14ac:dyDescent="0.2">
      <c r="A10" t="s">
        <v>775</v>
      </c>
      <c r="B10" s="240">
        <v>378260</v>
      </c>
      <c r="C10" s="240">
        <v>217568</v>
      </c>
    </row>
    <row r="11" spans="1:3" x14ac:dyDescent="0.2">
      <c r="A11" t="s">
        <v>776</v>
      </c>
      <c r="B11" s="240">
        <v>3237</v>
      </c>
      <c r="C11" s="240">
        <v>248</v>
      </c>
    </row>
    <row r="12" spans="1:3" x14ac:dyDescent="0.2">
      <c r="A12" t="s">
        <v>777</v>
      </c>
      <c r="B12" s="240">
        <v>16748</v>
      </c>
      <c r="C12" s="240">
        <v>1281</v>
      </c>
    </row>
    <row r="13" spans="1:3" x14ac:dyDescent="0.2">
      <c r="A13" t="str">
        <f>IF(B9=B13,IF(C9=C13,"Check Total OK","Check Total Error"),"Check Total Error")</f>
        <v>Check Total OK</v>
      </c>
      <c r="B13" s="231">
        <f>SUM(B10:B12)</f>
        <v>398245</v>
      </c>
      <c r="C13" s="231">
        <f>SUM(C10:C12)</f>
        <v>219097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125156</v>
      </c>
      <c r="C18" s="229">
        <f>'DOE25'!G199+'DOE25'!G217+'DOE25'!G235+'DOE25'!G278+'DOE25'!G297+'DOE25'!G316</f>
        <v>64677</v>
      </c>
    </row>
    <row r="19" spans="1:3" x14ac:dyDescent="0.2">
      <c r="A19" t="s">
        <v>775</v>
      </c>
      <c r="B19" s="240">
        <v>55862</v>
      </c>
      <c r="C19" s="240">
        <v>38480</v>
      </c>
    </row>
    <row r="20" spans="1:3" x14ac:dyDescent="0.2">
      <c r="A20" t="s">
        <v>776</v>
      </c>
      <c r="B20" s="240">
        <f>62442+4539-2</f>
        <v>66979</v>
      </c>
      <c r="C20" s="240">
        <f>23364+2656</f>
        <v>26020</v>
      </c>
    </row>
    <row r="21" spans="1:3" x14ac:dyDescent="0.2">
      <c r="A21" t="s">
        <v>777</v>
      </c>
      <c r="B21" s="240">
        <v>2315</v>
      </c>
      <c r="C21" s="240">
        <v>177</v>
      </c>
    </row>
    <row r="22" spans="1:3" x14ac:dyDescent="0.2">
      <c r="A22" t="str">
        <f>IF(B18=B22,IF(C18=C22,"Check Total OK","Check Total Error"),"Check Total Error")</f>
        <v>Check Total OK</v>
      </c>
      <c r="B22" s="231">
        <f>SUM(B19:B21)</f>
        <v>125156</v>
      </c>
      <c r="C22" s="231">
        <f>SUM(C19:C21)</f>
        <v>64677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8071</v>
      </c>
      <c r="C36" s="235">
        <f>'DOE25'!G201+'DOE25'!G219+'DOE25'!G237+'DOE25'!G280+'DOE25'!G299+'DOE25'!G318</f>
        <v>2040</v>
      </c>
    </row>
    <row r="37" spans="1:3" x14ac:dyDescent="0.2">
      <c r="A37" t="s">
        <v>775</v>
      </c>
      <c r="B37" s="240">
        <v>7000</v>
      </c>
      <c r="C37" s="240">
        <v>1838</v>
      </c>
    </row>
    <row r="38" spans="1:3" x14ac:dyDescent="0.2">
      <c r="A38" t="s">
        <v>776</v>
      </c>
      <c r="B38" s="240">
        <v>1071</v>
      </c>
      <c r="C38" s="240">
        <v>202</v>
      </c>
    </row>
    <row r="39" spans="1:3" x14ac:dyDescent="0.2">
      <c r="A39" t="s">
        <v>777</v>
      </c>
      <c r="B39" s="240"/>
      <c r="C39" s="240"/>
    </row>
    <row r="40" spans="1:3" x14ac:dyDescent="0.2">
      <c r="A40" t="str">
        <f>IF(B36=B40,IF(C36=C40,"Check Total OK","Check Total Error"),"Check Total Error")</f>
        <v>Check Total OK</v>
      </c>
      <c r="B40" s="231">
        <f>SUM(B37:B39)</f>
        <v>8071</v>
      </c>
      <c r="C40" s="231">
        <f>SUM(C37:C39)</f>
        <v>2040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WARREN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1337893</v>
      </c>
      <c r="D5" s="20">
        <f>SUM('DOE25'!L198:L201)+SUM('DOE25'!L216:L219)+SUM('DOE25'!L234:L237)-F5-G5-H5</f>
        <v>1335976</v>
      </c>
      <c r="E5" s="243"/>
      <c r="F5" s="244"/>
      <c r="G5" s="53">
        <f>SUM('DOE25'!J198:J201)+SUM('DOE25'!J216:J219)+SUM('DOE25'!J234:J237)</f>
        <v>1917</v>
      </c>
      <c r="H5" s="53">
        <f>SUM('DOE25'!K198:K201)+SUM('DOE25'!K216:K219)+SUM('DOE25'!K234:K237)</f>
        <v>0</v>
      </c>
      <c r="I5" s="256"/>
    </row>
    <row r="6" spans="1:9" x14ac:dyDescent="0.2">
      <c r="A6" s="32">
        <v>2100</v>
      </c>
      <c r="B6" t="s">
        <v>796</v>
      </c>
      <c r="C6" s="276">
        <f t="shared" si="0"/>
        <v>145794</v>
      </c>
      <c r="D6" s="20">
        <f>'DOE25'!L203+'DOE25'!L221+'DOE25'!L239-F6-G6-H6</f>
        <v>145039</v>
      </c>
      <c r="E6" s="243"/>
      <c r="F6" s="244"/>
      <c r="G6" s="53">
        <f>'DOE25'!J203+'DOE25'!J221+'DOE25'!J239</f>
        <v>0</v>
      </c>
      <c r="H6" s="53">
        <f>'DOE25'!K203+'DOE25'!K221+'DOE25'!K239</f>
        <v>755</v>
      </c>
      <c r="I6" s="256"/>
    </row>
    <row r="7" spans="1:9" x14ac:dyDescent="0.2">
      <c r="A7" s="32">
        <v>2200</v>
      </c>
      <c r="B7" t="s">
        <v>821</v>
      </c>
      <c r="C7" s="276">
        <f t="shared" si="0"/>
        <v>32370</v>
      </c>
      <c r="D7" s="20">
        <f>'DOE25'!L204+'DOE25'!L222+'DOE25'!L240-F7-G7-H7</f>
        <v>11536</v>
      </c>
      <c r="E7" s="243"/>
      <c r="F7" s="244"/>
      <c r="G7" s="53">
        <f>'DOE25'!J204+'DOE25'!J222+'DOE25'!J240</f>
        <v>20834</v>
      </c>
      <c r="H7" s="53">
        <f>'DOE25'!K204+'DOE25'!K222+'DOE25'!K240</f>
        <v>0</v>
      </c>
      <c r="I7" s="256"/>
    </row>
    <row r="8" spans="1:9" x14ac:dyDescent="0.2">
      <c r="A8" s="32">
        <v>2300</v>
      </c>
      <c r="B8" t="s">
        <v>797</v>
      </c>
      <c r="C8" s="276">
        <f t="shared" si="0"/>
        <v>109990</v>
      </c>
      <c r="D8" s="243"/>
      <c r="E8" s="20">
        <f>'DOE25'!L205+'DOE25'!L223+'DOE25'!L241-F8-G8-H8-D9-D11</f>
        <v>107660</v>
      </c>
      <c r="F8" s="244"/>
      <c r="G8" s="53">
        <f>'DOE25'!J205+'DOE25'!J223+'DOE25'!J241</f>
        <v>0</v>
      </c>
      <c r="H8" s="53">
        <f>'DOE25'!K205+'DOE25'!K223+'DOE25'!K241</f>
        <v>2330</v>
      </c>
      <c r="I8" s="256"/>
    </row>
    <row r="9" spans="1:9" ht="14.25" x14ac:dyDescent="0.2">
      <c r="A9" s="32">
        <v>2310</v>
      </c>
      <c r="B9" s="185" t="s">
        <v>890</v>
      </c>
      <c r="C9" s="276">
        <f t="shared" si="0"/>
        <v>4237</v>
      </c>
      <c r="D9" s="244">
        <v>4237</v>
      </c>
      <c r="E9" s="243"/>
      <c r="F9" s="253"/>
      <c r="G9" s="253"/>
      <c r="H9" s="253"/>
      <c r="I9" s="256"/>
    </row>
    <row r="10" spans="1:9" ht="14.25" x14ac:dyDescent="0.2">
      <c r="A10" s="32">
        <v>2317</v>
      </c>
      <c r="B10" s="185" t="s">
        <v>891</v>
      </c>
      <c r="C10" s="276">
        <f t="shared" si="0"/>
        <v>7800</v>
      </c>
      <c r="D10" s="243"/>
      <c r="E10" s="244">
        <v>7800</v>
      </c>
      <c r="F10" s="253"/>
      <c r="G10" s="253"/>
      <c r="H10" s="253"/>
      <c r="I10" s="256"/>
    </row>
    <row r="11" spans="1:9" ht="14.25" x14ac:dyDescent="0.2">
      <c r="A11" s="32">
        <v>2321</v>
      </c>
      <c r="B11" s="185" t="s">
        <v>892</v>
      </c>
      <c r="C11" s="276">
        <f t="shared" si="0"/>
        <v>23387</v>
      </c>
      <c r="D11" s="244">
        <v>23387</v>
      </c>
      <c r="E11" s="243"/>
      <c r="F11" s="253"/>
      <c r="G11" s="253"/>
      <c r="H11" s="253"/>
      <c r="I11" s="256"/>
    </row>
    <row r="12" spans="1:9" x14ac:dyDescent="0.2">
      <c r="A12" s="32">
        <v>2400</v>
      </c>
      <c r="B12" t="s">
        <v>711</v>
      </c>
      <c r="C12" s="276">
        <f t="shared" si="0"/>
        <v>150321</v>
      </c>
      <c r="D12" s="20">
        <f>'DOE25'!L206+'DOE25'!L224+'DOE25'!L242-F12-G12-H12</f>
        <v>150234</v>
      </c>
      <c r="E12" s="243"/>
      <c r="F12" s="244"/>
      <c r="G12" s="53">
        <f>'DOE25'!J206+'DOE25'!J224+'DOE25'!J242</f>
        <v>0</v>
      </c>
      <c r="H12" s="53">
        <f>'DOE25'!K206+'DOE25'!K224+'DOE25'!K242</f>
        <v>87</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132488</v>
      </c>
      <c r="D14" s="20">
        <f>'DOE25'!L208+'DOE25'!L226+'DOE25'!L244-F14-G14-H14</f>
        <v>121748</v>
      </c>
      <c r="E14" s="243"/>
      <c r="F14" s="244"/>
      <c r="G14" s="53">
        <f>'DOE25'!J208+'DOE25'!J226+'DOE25'!J244</f>
        <v>10740</v>
      </c>
      <c r="H14" s="53">
        <f>'DOE25'!K208+'DOE25'!K226+'DOE25'!K244</f>
        <v>0</v>
      </c>
      <c r="I14" s="256"/>
    </row>
    <row r="15" spans="1:9" x14ac:dyDescent="0.2">
      <c r="A15" s="32">
        <v>2700</v>
      </c>
      <c r="B15" t="s">
        <v>799</v>
      </c>
      <c r="C15" s="276">
        <f t="shared" si="0"/>
        <v>131169</v>
      </c>
      <c r="D15" s="20">
        <f>'DOE25'!L209+'DOE25'!L227+'DOE25'!L245-F15-G15-H15</f>
        <v>34861</v>
      </c>
      <c r="E15" s="243"/>
      <c r="F15" s="244">
        <f>121308-25000</f>
        <v>96308</v>
      </c>
      <c r="G15" s="53">
        <f>'DOE25'!J209+'DOE25'!J227+'DOE25'!J245</f>
        <v>0</v>
      </c>
      <c r="H15" s="53">
        <f>'DOE25'!K209+'DOE25'!K227+'DOE25'!K245</f>
        <v>0</v>
      </c>
      <c r="I15" s="256"/>
    </row>
    <row r="16" spans="1:9" x14ac:dyDescent="0.2">
      <c r="A16" s="32">
        <v>2800</v>
      </c>
      <c r="B16" t="s">
        <v>800</v>
      </c>
      <c r="C16" s="276">
        <f t="shared" si="0"/>
        <v>8447</v>
      </c>
      <c r="D16" s="243"/>
      <c r="E16" s="20">
        <f>'DOE25'!L210+'DOE25'!L228+'DOE25'!L246-F16-G16-H16</f>
        <v>7960</v>
      </c>
      <c r="F16" s="244"/>
      <c r="G16" s="53">
        <f>'DOE25'!J210+'DOE25'!J228+'DOE25'!J246</f>
        <v>487</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58974</v>
      </c>
      <c r="D29" s="284">
        <f>'DOE25'!L359+'DOE25'!L360+'DOE25'!L361-'DOE25'!I368-F29-G29-H29</f>
        <v>30170</v>
      </c>
      <c r="E29" s="243"/>
      <c r="F29" s="244">
        <f>53804-25000</f>
        <v>28804</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82431</v>
      </c>
      <c r="D31" s="20">
        <f>'DOE25'!L291+'DOE25'!L310+'DOE25'!L329+'DOE25'!L334+'DOE25'!L335+'DOE25'!L336-F31-G31-H31</f>
        <v>81156</v>
      </c>
      <c r="E31" s="243"/>
      <c r="F31" s="244"/>
      <c r="G31" s="53">
        <f>'DOE25'!J291+'DOE25'!J310+'DOE25'!J329+'DOE25'!J334+'DOE25'!J335+'DOE25'!J336</f>
        <v>297</v>
      </c>
      <c r="H31" s="53">
        <f>'DOE25'!K291+'DOE25'!K310+'DOE25'!K329+'DOE25'!K334+'DOE25'!K335+'DOE25'!K336</f>
        <v>978</v>
      </c>
      <c r="I31" s="256"/>
    </row>
    <row r="32" spans="1:9" ht="12" thickBot="1" x14ac:dyDescent="0.25">
      <c r="C32" s="277"/>
      <c r="G32" s="251"/>
      <c r="H32" s="251"/>
      <c r="I32" s="258"/>
    </row>
    <row r="33" spans="1:9" ht="12" thickTop="1" x14ac:dyDescent="0.2">
      <c r="B33" t="s">
        <v>809</v>
      </c>
      <c r="D33" s="245">
        <f t="shared" ref="D33:I33" si="1">SUM(D5:D31)</f>
        <v>1938344</v>
      </c>
      <c r="E33" s="245">
        <f t="shared" si="1"/>
        <v>123420</v>
      </c>
      <c r="F33" s="245">
        <f t="shared" si="1"/>
        <v>125112</v>
      </c>
      <c r="G33" s="245">
        <f t="shared" si="1"/>
        <v>34275</v>
      </c>
      <c r="H33" s="245">
        <f t="shared" si="1"/>
        <v>4150</v>
      </c>
      <c r="I33" s="245">
        <f t="shared" si="1"/>
        <v>0</v>
      </c>
    </row>
    <row r="35" spans="1:9" ht="12" thickBot="1" x14ac:dyDescent="0.25">
      <c r="B35" s="251" t="s">
        <v>831</v>
      </c>
      <c r="D35" s="252">
        <f>E33</f>
        <v>123420</v>
      </c>
      <c r="E35" s="248"/>
    </row>
    <row r="36" spans="1:9" ht="12" thickTop="1" x14ac:dyDescent="0.2">
      <c r="B36" t="s">
        <v>810</v>
      </c>
      <c r="D36" s="20">
        <f>D33</f>
        <v>1938344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10" sqref="E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WARREN SCHOOL DISTRICT</v>
      </c>
      <c r="B2" s="126">
        <f>'DOE25'!B2</f>
        <v>0</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1575080</v>
      </c>
      <c r="G4" s="303">
        <f>'DOE25'!L212+'DOE25'!L291</f>
        <v>1575080</v>
      </c>
      <c r="H4" s="337">
        <f>F4-G4</f>
        <v>0</v>
      </c>
      <c r="I4" s="309" t="str">
        <f>IF(H4=0,"","Does not match DOE25 page 7 and 11 Totals!!")</f>
        <v/>
      </c>
      <c r="N4"/>
    </row>
    <row r="5" spans="1:18" x14ac:dyDescent="0.2">
      <c r="A5" s="21" t="s">
        <v>1462</v>
      </c>
      <c r="B5" s="304">
        <f>IFERROR(VLOOKUP(A5,'School Tables'!$C$3:$D$365,2,FALSE),"")</f>
        <v>20900</v>
      </c>
      <c r="C5" s="297" t="str">
        <f>IFERROR(INDEX('School Tables'!$B$3:$B$365,MATCH('School Level Expenditures'!B5,'School Tables'!$D$3:$D$365,0)),"")</f>
        <v>Warren</v>
      </c>
      <c r="D5" s="294">
        <v>1445003</v>
      </c>
      <c r="E5" s="294">
        <f>102407+27670</f>
        <v>130077</v>
      </c>
      <c r="F5" s="312">
        <f>D5+E5</f>
        <v>1575080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583447</v>
      </c>
      <c r="G36" s="303">
        <f>'DOE25'!L248+'DOE25'!L329</f>
        <v>583447</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583447</v>
      </c>
      <c r="E37" s="294">
        <v>0</v>
      </c>
      <c r="F37" s="307">
        <f>D37+E37</f>
        <v>583447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WARREN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231600</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137308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30586</v>
      </c>
      <c r="F11" s="95">
        <f>'DOE25'!I12</f>
        <v>0</v>
      </c>
      <c r="G11" s="95">
        <f>'DOE25'!J12</f>
        <v>0</v>
      </c>
      <c r="H11" s="124"/>
      <c r="I11" s="124"/>
    </row>
    <row r="12" spans="1:9" x14ac:dyDescent="0.2">
      <c r="A12" s="1" t="s">
        <v>143</v>
      </c>
      <c r="B12" s="6">
        <v>140</v>
      </c>
      <c r="C12" s="95">
        <f>'DOE25'!F13</f>
        <v>1906</v>
      </c>
      <c r="D12" s="95">
        <f>'DOE25'!G13</f>
        <v>13828</v>
      </c>
      <c r="E12" s="95">
        <f>'DOE25'!H13</f>
        <v>6027</v>
      </c>
      <c r="F12" s="95">
        <f>'DOE25'!I13</f>
        <v>0</v>
      </c>
      <c r="G12" s="95">
        <f>'DOE25'!J13</f>
        <v>0</v>
      </c>
      <c r="H12" s="124"/>
      <c r="I12" s="124"/>
    </row>
    <row r="13" spans="1:9" x14ac:dyDescent="0.2">
      <c r="A13" s="1" t="s">
        <v>144</v>
      </c>
      <c r="B13" s="6">
        <v>150</v>
      </c>
      <c r="C13" s="95">
        <f>'DOE25'!F14</f>
        <v>1507</v>
      </c>
      <c r="D13" s="95">
        <f>'DOE25'!G14</f>
        <v>317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475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235488</v>
      </c>
      <c r="D18" s="41">
        <f>SUM(D8:D17)</f>
        <v>14145</v>
      </c>
      <c r="E18" s="41">
        <f>SUM(E8:E17)</f>
        <v>36613</v>
      </c>
      <c r="F18" s="41">
        <f>SUM(F8:F17)</f>
        <v>0</v>
      </c>
      <c r="G18" s="41">
        <f>SUM(G8:G17)</f>
        <v>137308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26190</v>
      </c>
      <c r="D21" s="95">
        <f>'DOE25'!G22</f>
        <v>4396</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43556</v>
      </c>
      <c r="D23" s="95">
        <f>'DOE25'!G24</f>
        <v>9749</v>
      </c>
      <c r="E23" s="95">
        <f>'DOE25'!H24</f>
        <v>850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253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35763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69999</v>
      </c>
      <c r="D31" s="41">
        <f>SUM(D21:D30)</f>
        <v>14145</v>
      </c>
      <c r="E31" s="41">
        <f>SUM(E21:E30)</f>
        <v>36613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475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32727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137308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82287</v>
      </c>
      <c r="D49" s="24" t="s">
        <v>288</v>
      </c>
      <c r="E49" s="24" t="s">
        <v>288</v>
      </c>
      <c r="F49" s="24" t="s">
        <v>288</v>
      </c>
      <c r="G49" s="24" t="s">
        <v>288</v>
      </c>
      <c r="H49" s="124"/>
      <c r="I49" s="124"/>
    </row>
    <row r="50" spans="1:9" ht="12.75" thickTop="1" thickBot="1" x14ac:dyDescent="0.25">
      <c r="A50" s="38" t="s">
        <v>884</v>
      </c>
      <c r="B50" s="48"/>
      <c r="C50" s="41">
        <f>SUM(C34:C49)</f>
        <v>165489</v>
      </c>
      <c r="D50" s="41">
        <f>SUM(D34:D49)</f>
        <v>0</v>
      </c>
      <c r="E50" s="41">
        <f>SUM(E34:E49)</f>
        <v>0</v>
      </c>
      <c r="F50" s="41">
        <f>SUM(F34:F49)</f>
        <v>0</v>
      </c>
      <c r="G50" s="41">
        <f>SUM(G34:G49)</f>
        <v>137308</v>
      </c>
      <c r="H50" s="124"/>
      <c r="I50" s="124"/>
    </row>
    <row r="51" spans="1:9" ht="12" thickTop="1" x14ac:dyDescent="0.2">
      <c r="A51" s="38" t="s">
        <v>885</v>
      </c>
      <c r="B51" s="2"/>
      <c r="C51" s="41">
        <f>C50+C31</f>
        <v>235488</v>
      </c>
      <c r="D51" s="41">
        <f>D50+D31</f>
        <v>14145</v>
      </c>
      <c r="E51" s="41">
        <f>E50+E31</f>
        <v>36613</v>
      </c>
      <c r="F51" s="41">
        <f>F50+F31</f>
        <v>0</v>
      </c>
      <c r="G51" s="41">
        <f>G50+G31</f>
        <v>137308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1172720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297</v>
      </c>
      <c r="D59" s="95">
        <f>'DOE25'!G96</f>
        <v>0</v>
      </c>
      <c r="E59" s="95">
        <f>'DOE25'!H96</f>
        <v>0</v>
      </c>
      <c r="F59" s="95">
        <f>'DOE25'!I96</f>
        <v>0</v>
      </c>
      <c r="G59" s="95">
        <f>'DOE25'!J96</f>
        <v>69</v>
      </c>
      <c r="H59"/>
      <c r="I59"/>
    </row>
    <row r="60" spans="1:9" x14ac:dyDescent="0.2">
      <c r="A60" s="1" t="s">
        <v>170</v>
      </c>
      <c r="B60" s="118" t="s">
        <v>171</v>
      </c>
      <c r="C60" s="24" t="s">
        <v>288</v>
      </c>
      <c r="D60" s="95">
        <f>'DOE25'!G97</f>
        <v>3643</v>
      </c>
      <c r="E60" s="24" t="s">
        <v>288</v>
      </c>
      <c r="F60" s="24" t="s">
        <v>288</v>
      </c>
      <c r="G60" s="24" t="s">
        <v>288</v>
      </c>
      <c r="H60"/>
      <c r="I60"/>
    </row>
    <row r="61" spans="1:9" ht="12" thickBot="1" x14ac:dyDescent="0.25">
      <c r="A61" s="1" t="s">
        <v>172</v>
      </c>
      <c r="B61" s="118" t="s">
        <v>173</v>
      </c>
      <c r="C61" s="95">
        <f>SUM('DOE25'!F98:F110)</f>
        <v>6303</v>
      </c>
      <c r="D61" s="95">
        <f>SUM('DOE25'!G98:G110)</f>
        <v>319</v>
      </c>
      <c r="E61" s="95">
        <f>SUM('DOE25'!H98:H110)</f>
        <v>10182</v>
      </c>
      <c r="F61" s="95">
        <f>SUM('DOE25'!I98:I110)</f>
        <v>0</v>
      </c>
      <c r="G61" s="95">
        <f>SUM('DOE25'!J98:J110)</f>
        <v>0</v>
      </c>
      <c r="H61"/>
      <c r="I61"/>
    </row>
    <row r="62" spans="1:9" ht="12.75" thickTop="1" thickBot="1" x14ac:dyDescent="0.25">
      <c r="A62" s="29" t="s">
        <v>174</v>
      </c>
      <c r="B62" s="6"/>
      <c r="C62" s="130">
        <f>SUM(C57:C61)</f>
        <v>6600</v>
      </c>
      <c r="D62" s="130">
        <f>SUM(D57:D61)</f>
        <v>3962</v>
      </c>
      <c r="E62" s="130">
        <f>SUM(E57:E61)</f>
        <v>10182</v>
      </c>
      <c r="F62" s="130">
        <f>SUM(F57:F61)</f>
        <v>0</v>
      </c>
      <c r="G62" s="130">
        <f>SUM(G57:G61)</f>
        <v>69</v>
      </c>
      <c r="H62"/>
      <c r="I62"/>
    </row>
    <row r="63" spans="1:9" ht="12" thickTop="1" x14ac:dyDescent="0.2">
      <c r="A63" s="29" t="s">
        <v>175</v>
      </c>
      <c r="B63" s="6"/>
      <c r="C63" s="22">
        <f>C56+C62</f>
        <v>1179320</v>
      </c>
      <c r="D63" s="22">
        <f>D56+D62</f>
        <v>3962</v>
      </c>
      <c r="E63" s="22">
        <f>E56+E62</f>
        <v>10182</v>
      </c>
      <c r="F63" s="22">
        <f>F56+F62</f>
        <v>0</v>
      </c>
      <c r="G63" s="22">
        <f>G56+G62</f>
        <v>69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802801</v>
      </c>
      <c r="D66" s="24" t="s">
        <v>288</v>
      </c>
      <c r="E66" s="24" t="s">
        <v>288</v>
      </c>
      <c r="F66" s="24" t="s">
        <v>288</v>
      </c>
      <c r="G66" s="24" t="s">
        <v>288</v>
      </c>
      <c r="H66"/>
      <c r="I66"/>
    </row>
    <row r="67" spans="1:9" x14ac:dyDescent="0.2">
      <c r="A67" s="1" t="s">
        <v>770</v>
      </c>
      <c r="B67" s="6">
        <v>3112</v>
      </c>
      <c r="C67" s="95">
        <f>'DOE25'!F118</f>
        <v>136364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939165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31026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379</v>
      </c>
      <c r="E77" s="95">
        <f>SUM('DOE25'!H131:H135)</f>
        <v>0</v>
      </c>
      <c r="F77" s="95">
        <f>SUM('DOE25'!I131:I135)</f>
        <v>0</v>
      </c>
      <c r="G77" s="95">
        <f>SUM('DOE25'!J131:J135)</f>
        <v>0</v>
      </c>
      <c r="H77"/>
      <c r="I77"/>
    </row>
    <row r="78" spans="1:9" ht="12.75" thickTop="1" thickBot="1" x14ac:dyDescent="0.25">
      <c r="A78" s="29" t="s">
        <v>259</v>
      </c>
      <c r="B78" s="6"/>
      <c r="C78" s="130">
        <f>SUM(C72:C77)</f>
        <v>31026</v>
      </c>
      <c r="D78" s="130">
        <f>SUM(D72:D77)</f>
        <v>379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970191</v>
      </c>
      <c r="D81" s="130">
        <f>SUM(D79:D80)+D78+D70</f>
        <v>379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5041</v>
      </c>
      <c r="F87" s="95">
        <f>SUM('DOE25'!I149:I152)</f>
        <v>0</v>
      </c>
      <c r="G87" s="24" t="s">
        <v>288</v>
      </c>
    </row>
    <row r="88" spans="1:9" x14ac:dyDescent="0.2">
      <c r="A88" s="291" t="s">
        <v>747</v>
      </c>
      <c r="B88" s="340" t="s">
        <v>184</v>
      </c>
      <c r="C88" s="341">
        <f>SUM('DOE25'!F153:F162)</f>
        <v>9495</v>
      </c>
      <c r="D88" s="341">
        <f>SUM('DOE25'!G153:G162)</f>
        <v>39675</v>
      </c>
      <c r="E88" s="341">
        <f>SUM('DOE25'!H153:H162)</f>
        <v>67208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8761</v>
      </c>
      <c r="D90" s="24" t="s">
        <v>288</v>
      </c>
      <c r="E90" s="24" t="s">
        <v>288</v>
      </c>
      <c r="F90" s="24" t="s">
        <v>288</v>
      </c>
      <c r="G90" s="24" t="s">
        <v>288</v>
      </c>
    </row>
    <row r="91" spans="1:9" ht="12.75" thickTop="1" thickBot="1" x14ac:dyDescent="0.25">
      <c r="A91" s="33" t="s">
        <v>750</v>
      </c>
      <c r="C91" s="131">
        <f>SUM(C85:C90)</f>
        <v>18256</v>
      </c>
      <c r="D91" s="131">
        <f>SUM(D85:D90)</f>
        <v>39675</v>
      </c>
      <c r="E91" s="131">
        <f>SUM(E85:E90)</f>
        <v>72249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14717</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14717</v>
      </c>
      <c r="E103" s="86">
        <f>SUM(E93:E102)</f>
        <v>0</v>
      </c>
      <c r="F103" s="86">
        <f>SUM(F93:F102)</f>
        <v>0</v>
      </c>
      <c r="G103" s="86">
        <f>SUM(G93:G102)</f>
        <v>30000</v>
      </c>
    </row>
    <row r="104" spans="1:7" ht="12.75" thickTop="1" thickBot="1" x14ac:dyDescent="0.25">
      <c r="A104" s="33" t="s">
        <v>761</v>
      </c>
      <c r="C104" s="86">
        <f>C63+C81+C91+C103</f>
        <v>2167767</v>
      </c>
      <c r="D104" s="86">
        <f>D63+D81+D91+D103</f>
        <v>58733</v>
      </c>
      <c r="E104" s="86">
        <f>E63+E81+E91+E103</f>
        <v>82431</v>
      </c>
      <c r="F104" s="86">
        <f>F63+F81+F91+F103</f>
        <v>0</v>
      </c>
      <c r="G104" s="86">
        <f>G63+G81+G103</f>
        <v>30069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1031382</v>
      </c>
      <c r="D109" s="24" t="s">
        <v>288</v>
      </c>
      <c r="E109" s="95">
        <f>('DOE25'!L277)+('DOE25'!L296)+('DOE25'!L315)</f>
        <v>31268</v>
      </c>
      <c r="F109" s="24" t="s">
        <v>288</v>
      </c>
      <c r="G109" s="24" t="s">
        <v>288</v>
      </c>
    </row>
    <row r="110" spans="1:7" x14ac:dyDescent="0.2">
      <c r="A110" t="s">
        <v>198</v>
      </c>
      <c r="B110" s="32" t="s">
        <v>199</v>
      </c>
      <c r="C110" s="95">
        <f>('DOE25'!L199)+('DOE25'!L217)+('DOE25'!L235)</f>
        <v>217859</v>
      </c>
      <c r="D110" s="24" t="s">
        <v>288</v>
      </c>
      <c r="E110" s="95">
        <f>('DOE25'!L278)+('DOE25'!L297)+('DOE25'!L316)</f>
        <v>15506</v>
      </c>
      <c r="F110" s="24" t="s">
        <v>288</v>
      </c>
      <c r="G110" s="24" t="s">
        <v>288</v>
      </c>
    </row>
    <row r="111" spans="1:7" x14ac:dyDescent="0.2">
      <c r="A111" t="s">
        <v>200</v>
      </c>
      <c r="B111" s="32" t="s">
        <v>165</v>
      </c>
      <c r="C111" s="95">
        <f>('DOE25'!L200)+('DOE25'!L218)+('DOE25'!L236)</f>
        <v>78261</v>
      </c>
      <c r="D111" s="24" t="s">
        <v>288</v>
      </c>
      <c r="E111" s="95">
        <f>('DOE25'!L279)+('DOE25'!L298)+('DOE25'!L317)</f>
        <v>0</v>
      </c>
      <c r="F111" s="24" t="s">
        <v>288</v>
      </c>
      <c r="G111" s="24" t="s">
        <v>288</v>
      </c>
    </row>
    <row r="112" spans="1:7" x14ac:dyDescent="0.2">
      <c r="A112" t="s">
        <v>201</v>
      </c>
      <c r="B112" s="32" t="s">
        <v>167</v>
      </c>
      <c r="C112" s="95">
        <f>('DOE25'!L201)+('DOE25'!L219)+('DOE25'!L237)</f>
        <v>10391</v>
      </c>
      <c r="D112" s="24" t="s">
        <v>288</v>
      </c>
      <c r="E112" s="95">
        <f>+('DOE25'!L280)+('DOE25'!L299)+('DOE25'!L318)</f>
        <v>715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1337893</v>
      </c>
      <c r="D115" s="86">
        <f>SUM(D109:D114)</f>
        <v>0</v>
      </c>
      <c r="E115" s="86">
        <f>SUM(E109:E114)</f>
        <v>47489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145794</v>
      </c>
      <c r="D118" s="24" t="s">
        <v>288</v>
      </c>
      <c r="E118" s="95">
        <f>+('DOE25'!L282)+('DOE25'!L301)+('DOE25'!L320)</f>
        <v>18976</v>
      </c>
      <c r="F118" s="24" t="s">
        <v>288</v>
      </c>
      <c r="G118" s="24" t="s">
        <v>288</v>
      </c>
    </row>
    <row r="119" spans="1:7" x14ac:dyDescent="0.2">
      <c r="A119" t="s">
        <v>208</v>
      </c>
      <c r="B119" s="32" t="s">
        <v>209</v>
      </c>
      <c r="C119" s="95">
        <f>('DOE25'!L204)+('DOE25'!L222)+('DOE25'!L240)</f>
        <v>32370</v>
      </c>
      <c r="D119" s="24" t="s">
        <v>288</v>
      </c>
      <c r="E119" s="95">
        <f>+('DOE25'!L283)+('DOE25'!L302)+('DOE25'!L321)</f>
        <v>14508</v>
      </c>
      <c r="F119" s="24" t="s">
        <v>288</v>
      </c>
      <c r="G119" s="24" t="s">
        <v>288</v>
      </c>
    </row>
    <row r="120" spans="1:7" x14ac:dyDescent="0.2">
      <c r="A120" t="s">
        <v>210</v>
      </c>
      <c r="B120" s="32" t="s">
        <v>211</v>
      </c>
      <c r="C120" s="95">
        <f>('DOE25'!L205)+('DOE25'!L223)+('DOE25'!L241)</f>
        <v>137614</v>
      </c>
      <c r="D120" s="24" t="s">
        <v>288</v>
      </c>
      <c r="E120" s="95">
        <f>+('DOE25'!L284)+('DOE25'!L303)+('DOE25'!L322)</f>
        <v>978</v>
      </c>
      <c r="F120" s="24" t="s">
        <v>288</v>
      </c>
      <c r="G120" s="24" t="s">
        <v>288</v>
      </c>
    </row>
    <row r="121" spans="1:7" x14ac:dyDescent="0.2">
      <c r="A121" t="s">
        <v>212</v>
      </c>
      <c r="B121" s="32" t="s">
        <v>213</v>
      </c>
      <c r="C121" s="95">
        <f>('DOE25'!L206)+('DOE25'!L224)+('DOE25'!L242)</f>
        <v>150321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132488</v>
      </c>
      <c r="D123" s="24" t="s">
        <v>288</v>
      </c>
      <c r="E123" s="95">
        <f>+('DOE25'!L287)+('DOE25'!L306)+('DOE25'!L325)</f>
        <v>0</v>
      </c>
      <c r="F123" s="24" t="s">
        <v>288</v>
      </c>
      <c r="G123" s="24" t="s">
        <v>288</v>
      </c>
    </row>
    <row r="124" spans="1:7" x14ac:dyDescent="0.2">
      <c r="A124" t="s">
        <v>218</v>
      </c>
      <c r="B124" s="32" t="s">
        <v>219</v>
      </c>
      <c r="C124" s="95">
        <f>('DOE25'!L209)+('DOE25'!L227)+('DOE25'!L245+'DOE25'!L255)</f>
        <v>131169</v>
      </c>
      <c r="D124" s="24" t="s">
        <v>288</v>
      </c>
      <c r="E124" s="95">
        <f>+('DOE25'!L288)+('DOE25'!L307)+('DOE25'!L326)</f>
        <v>0</v>
      </c>
      <c r="F124" s="24" t="s">
        <v>288</v>
      </c>
      <c r="G124" s="24" t="s">
        <v>288</v>
      </c>
    </row>
    <row r="125" spans="1:7" x14ac:dyDescent="0.2">
      <c r="A125" t="s">
        <v>220</v>
      </c>
      <c r="B125" s="32" t="s">
        <v>221</v>
      </c>
      <c r="C125" s="95">
        <f>('DOE25'!L210)+('DOE25'!L228)+('DOE25'!L246)</f>
        <v>8447</v>
      </c>
      <c r="D125" s="24" t="s">
        <v>288</v>
      </c>
      <c r="E125" s="95">
        <f>+('DOE25'!L289)+('DOE25'!L308)+('DOE25'!L327)</f>
        <v>480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58974</v>
      </c>
      <c r="E127" s="24" t="s">
        <v>288</v>
      </c>
      <c r="F127" s="24" t="s">
        <v>288</v>
      </c>
      <c r="G127" s="24" t="s">
        <v>288</v>
      </c>
    </row>
    <row r="128" spans="1:7" ht="12.75" thickTop="1" thickBot="1" x14ac:dyDescent="0.25">
      <c r="A128" s="33" t="s">
        <v>226</v>
      </c>
      <c r="C128" s="86">
        <f>SUM(C118:C127)</f>
        <v>738203</v>
      </c>
      <c r="D128" s="86">
        <f>SUM(D118:D127)</f>
        <v>58974</v>
      </c>
      <c r="E128" s="86">
        <f>SUM(E118:E127)</f>
        <v>34942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14717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30069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44717</v>
      </c>
      <c r="D144" s="141">
        <f>SUM(D130:D143)</f>
        <v>0</v>
      </c>
      <c r="E144" s="141">
        <f>SUM(E130:E143)</f>
        <v>0</v>
      </c>
      <c r="F144" s="141">
        <f>SUM(F130:F143)</f>
        <v>0</v>
      </c>
      <c r="G144" s="141">
        <f>SUM(G130:G143)</f>
        <v>0</v>
      </c>
    </row>
    <row r="145" spans="1:9" ht="12.75" thickTop="1" thickBot="1" x14ac:dyDescent="0.25">
      <c r="A145" s="33" t="s">
        <v>244</v>
      </c>
      <c r="C145" s="86">
        <f>(C115+C128+C144)</f>
        <v>2120813</v>
      </c>
      <c r="D145" s="86">
        <f>(D115+D128+D144)</f>
        <v>58974</v>
      </c>
      <c r="E145" s="86">
        <f>(E115+E128+E144)</f>
        <v>82431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WARREN SCHOOL DISTRICT</v>
      </c>
    </row>
    <row r="3" spans="1:4" x14ac:dyDescent="0.2">
      <c r="B3" s="188" t="s">
        <v>1587</v>
      </c>
    </row>
    <row r="4" spans="1:4" x14ac:dyDescent="0.2">
      <c r="B4" t="s">
        <v>61</v>
      </c>
      <c r="C4" s="179">
        <f>IF('DOE25'!F666+'DOE25'!F671=0,0,ROUND('DOE25'!F673,0))</f>
        <v>22123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22123</v>
      </c>
    </row>
    <row r="9" spans="1:4" x14ac:dyDescent="0.2">
      <c r="A9" s="187" t="s">
        <v>94</v>
      </c>
      <c r="B9" s="188" t="s">
        <v>1588</v>
      </c>
      <c r="C9" s="181" t="s">
        <v>720</v>
      </c>
      <c r="D9" s="181" t="s">
        <v>721</v>
      </c>
    </row>
    <row r="10" spans="1:4" x14ac:dyDescent="0.2">
      <c r="A10">
        <v>1100</v>
      </c>
      <c r="B10" t="s">
        <v>702</v>
      </c>
      <c r="C10" s="179">
        <f>ROUND('DOE25'!L198+'DOE25'!L216+'DOE25'!L234+'DOE25'!L277+'DOE25'!L296+'DOE25'!L315,0)</f>
        <v>1062650</v>
      </c>
      <c r="D10" s="182">
        <f>ROUND((C10/$C$28)*100,1)</f>
        <v>48</v>
      </c>
    </row>
    <row r="11" spans="1:4" x14ac:dyDescent="0.2">
      <c r="A11">
        <v>1200</v>
      </c>
      <c r="B11" t="s">
        <v>703</v>
      </c>
      <c r="C11" s="179">
        <f>ROUND('DOE25'!L199+'DOE25'!L217+'DOE25'!L235+'DOE25'!L278+'DOE25'!L297+'DOE25'!L316,0)</f>
        <v>233365</v>
      </c>
      <c r="D11" s="182">
        <f>ROUND((C11/$C$28)*100,1)</f>
        <v>10.5</v>
      </c>
    </row>
    <row r="12" spans="1:4" x14ac:dyDescent="0.2">
      <c r="A12">
        <v>1300</v>
      </c>
      <c r="B12" t="s">
        <v>704</v>
      </c>
      <c r="C12" s="179">
        <f>ROUND('DOE25'!L200+'DOE25'!L218+'DOE25'!L236+'DOE25'!L279+'DOE25'!L298+'DOE25'!L317,0)</f>
        <v>78261</v>
      </c>
      <c r="D12" s="182">
        <f>ROUND((C12/$C$28)*100,1)</f>
        <v>3.5</v>
      </c>
    </row>
    <row r="13" spans="1:4" x14ac:dyDescent="0.2">
      <c r="A13">
        <v>1400</v>
      </c>
      <c r="B13" t="s">
        <v>705</v>
      </c>
      <c r="C13" s="179">
        <f>ROUND('DOE25'!L201+'DOE25'!L219+'DOE25'!L237+'DOE25'!L280+'DOE25'!L299+'DOE25'!L318,0)</f>
        <v>11106</v>
      </c>
      <c r="D13" s="182">
        <f>ROUND((C13/$C$28)*100,1)</f>
        <v>0.5</v>
      </c>
    </row>
    <row r="14" spans="1:4" x14ac:dyDescent="0.2">
      <c r="D14" s="182"/>
    </row>
    <row r="15" spans="1:4" x14ac:dyDescent="0.2">
      <c r="A15">
        <v>2100</v>
      </c>
      <c r="B15" t="s">
        <v>706</v>
      </c>
      <c r="C15" s="179">
        <f>ROUND('DOE25'!L203+'DOE25'!L221+'DOE25'!L239+'DOE25'!L282+'DOE25'!L301+'DOE25'!L320,0)</f>
        <v>164770</v>
      </c>
      <c r="D15" s="182">
        <f t="shared" ref="D15:D27" si="0">ROUND((C15/$C$28)*100,1)</f>
        <v>7.4</v>
      </c>
    </row>
    <row r="16" spans="1:4" x14ac:dyDescent="0.2">
      <c r="A16">
        <v>2200</v>
      </c>
      <c r="B16" t="s">
        <v>707</v>
      </c>
      <c r="C16" s="179">
        <f>ROUND('DOE25'!L204+'DOE25'!L222+'DOE25'!L240+'DOE25'!L283+'DOE25'!L302+'DOE25'!L321,0)</f>
        <v>46878</v>
      </c>
      <c r="D16" s="182">
        <f t="shared" si="0"/>
        <v>2.1</v>
      </c>
    </row>
    <row r="17" spans="1:4" x14ac:dyDescent="0.2">
      <c r="A17" s="183" t="s">
        <v>723</v>
      </c>
      <c r="B17" t="s">
        <v>738</v>
      </c>
      <c r="C17" s="179">
        <f>ROUND('DOE25'!L205+'DOE25'!L210+'DOE25'!L223+'DOE25'!L228+'DOE25'!L241+'DOE25'!L246+'DOE25'!L284+'DOE25'!L289+'DOE25'!L303+'DOE25'!L308+'DOE25'!L322+'DOE25'!L327,0)</f>
        <v>147519</v>
      </c>
      <c r="D17" s="182">
        <f t="shared" si="0"/>
        <v>6.7</v>
      </c>
    </row>
    <row r="18" spans="1:4" x14ac:dyDescent="0.2">
      <c r="A18">
        <v>2400</v>
      </c>
      <c r="B18" t="s">
        <v>711</v>
      </c>
      <c r="C18" s="179">
        <f>ROUND('DOE25'!L206+'DOE25'!L224+'DOE25'!L242+'DOE25'!L285+'DOE25'!L304+'DOE25'!L323,0)</f>
        <v>150321</v>
      </c>
      <c r="D18" s="182">
        <f t="shared" si="0"/>
        <v>6.8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132488</v>
      </c>
      <c r="D20" s="182">
        <f t="shared" si="0"/>
        <v>6</v>
      </c>
    </row>
    <row r="21" spans="1:4" x14ac:dyDescent="0.2">
      <c r="A21">
        <v>2700</v>
      </c>
      <c r="B21" t="s">
        <v>710</v>
      </c>
      <c r="C21" s="179">
        <f>ROUND('DOE25'!L209+'DOE25'!L227+'DOE25'!L245+'DOE25'!L288+'DOE25'!L307+'DOE25'!L326,0)</f>
        <v>131169</v>
      </c>
      <c r="D21" s="182">
        <f t="shared" si="0"/>
        <v>5.9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55012</v>
      </c>
      <c r="D27" s="182">
        <f t="shared" si="0"/>
        <v>2.5</v>
      </c>
    </row>
    <row r="28" spans="1:4" x14ac:dyDescent="0.2">
      <c r="B28" s="187" t="s">
        <v>719</v>
      </c>
      <c r="C28" s="180">
        <f>SUM(C10:C27)</f>
        <v>2213539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2213539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1172720</v>
      </c>
      <c r="D35" s="182">
        <f t="shared" ref="D35:D40" si="1">ROUND((C35/$C$41)*100,1)</f>
        <v>51.2</v>
      </c>
    </row>
    <row r="36" spans="1:4" x14ac:dyDescent="0.2">
      <c r="B36" s="185" t="s">
        <v>739</v>
      </c>
      <c r="C36" s="179">
        <f>SUM('DOE25'!F112:J112)-SUM('DOE25'!G97:G110)+('DOE25'!F175+'DOE25'!F176+'DOE25'!I175+'DOE25'!I176)-C35</f>
        <v>16851</v>
      </c>
      <c r="D36" s="182">
        <f t="shared" si="1"/>
        <v>0.7</v>
      </c>
    </row>
    <row r="37" spans="1:4" x14ac:dyDescent="0.2">
      <c r="A37" s="183" t="s">
        <v>835</v>
      </c>
      <c r="B37" s="185" t="s">
        <v>728</v>
      </c>
      <c r="C37" s="179">
        <f>ROUND('DOE25'!F117+'DOE25'!F118,0)</f>
        <v>939165</v>
      </c>
      <c r="D37" s="182">
        <f t="shared" si="1"/>
        <v>41</v>
      </c>
    </row>
    <row r="38" spans="1:4" x14ac:dyDescent="0.2">
      <c r="A38" s="183" t="s">
        <v>734</v>
      </c>
      <c r="B38" s="185" t="s">
        <v>729</v>
      </c>
      <c r="C38" s="179">
        <f>ROUND(SUM('DOE25'!F140:J140)-SUM('DOE25'!F117:F119),0)</f>
        <v>31405</v>
      </c>
      <c r="D38" s="182">
        <f t="shared" si="1"/>
        <v>1.4</v>
      </c>
    </row>
    <row r="39" spans="1:4" x14ac:dyDescent="0.2">
      <c r="A39">
        <v>4000</v>
      </c>
      <c r="B39" s="185" t="s">
        <v>730</v>
      </c>
      <c r="C39" s="179">
        <f>ROUND('DOE25'!F170+'DOE25'!G170+'DOE25'!H170+'DOE25'!I170,0)</f>
        <v>130180</v>
      </c>
      <c r="D39" s="182">
        <f t="shared" si="1"/>
        <v>5.7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2290321</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WARREN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2020-11-20T16:49:11Z</cp:lastPrinted>
  <dcterms:created xsi:type="dcterms:W3CDTF">1997-12-04T19:04:30Z</dcterms:created>
  <dcterms:modified xsi:type="dcterms:W3CDTF">2020-11-20T16:49:25Z</dcterms:modified>
</cp:coreProperties>
</file>