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6" i="1" l="1"/>
  <c r="F117" i="1" l="1"/>
  <c r="C19" i="12" l="1"/>
  <c r="C10" i="12"/>
  <c r="B19" i="12"/>
  <c r="B10" i="12"/>
  <c r="G22" i="1" l="1"/>
  <c r="F12" i="1"/>
  <c r="G158" i="1"/>
  <c r="G440" i="1"/>
  <c r="G460" i="1" s="1"/>
  <c r="F368" i="1"/>
  <c r="I359" i="1"/>
  <c r="H277" i="1"/>
  <c r="H205" i="1" l="1"/>
  <c r="H241" i="1"/>
  <c r="H223" i="1"/>
  <c r="H13"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0" i="14"/>
  <c r="C14" i="14"/>
  <c r="C18" i="14"/>
  <c r="B6" i="14"/>
  <c r="C6" i="14" s="1"/>
  <c r="B7" i="14"/>
  <c r="C7" i="14" s="1"/>
  <c r="B8" i="14"/>
  <c r="C8" i="14" s="1"/>
  <c r="B9" i="14"/>
  <c r="C9" i="14" s="1"/>
  <c r="B10" i="14"/>
  <c r="B11" i="14"/>
  <c r="C11" i="14" s="1"/>
  <c r="B12" i="14"/>
  <c r="C12" i="14" s="1"/>
  <c r="B13" i="14"/>
  <c r="C13" i="14" s="1"/>
  <c r="B14" i="14"/>
  <c r="B15" i="14"/>
  <c r="C15" i="14" s="1"/>
  <c r="B16" i="14"/>
  <c r="C16" i="14" s="1"/>
  <c r="B17" i="14"/>
  <c r="C17" i="14" s="1"/>
  <c r="B18" i="14"/>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L337" i="1"/>
  <c r="E130" i="2" s="1"/>
  <c r="C11" i="13"/>
  <c r="C10" i="13"/>
  <c r="C9" i="13"/>
  <c r="L362" i="1"/>
  <c r="B4" i="12"/>
  <c r="B36" i="12"/>
  <c r="C36" i="12"/>
  <c r="B40" i="12"/>
  <c r="C40" i="12"/>
  <c r="B27" i="12"/>
  <c r="C27" i="12"/>
  <c r="B9" i="12"/>
  <c r="B13" i="12"/>
  <c r="B31" i="12" s="1"/>
  <c r="C9" i="12"/>
  <c r="C13" i="12"/>
  <c r="C31" i="12" s="1"/>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G620" i="1" s="1"/>
  <c r="I19" i="1"/>
  <c r="G621" i="1" s="1"/>
  <c r="F32" i="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4" i="1"/>
  <c r="G635" i="1"/>
  <c r="H637" i="1"/>
  <c r="G641" i="1"/>
  <c r="G644" i="1"/>
  <c r="G645" i="1"/>
  <c r="G651" i="1"/>
  <c r="G652" i="1"/>
  <c r="G653" i="1"/>
  <c r="H653" i="1"/>
  <c r="G654" i="1"/>
  <c r="H654" i="1"/>
  <c r="G655" i="1"/>
  <c r="H655" i="1"/>
  <c r="H656" i="1"/>
  <c r="J656" i="1" s="1"/>
  <c r="A40" i="12"/>
  <c r="G62" i="2"/>
  <c r="J258" i="1"/>
  <c r="J572" i="1"/>
  <c r="I170" i="1"/>
  <c r="G339" i="1"/>
  <c r="G353" i="1" s="1"/>
  <c r="J140" i="1"/>
  <c r="H140" i="1"/>
  <c r="E114" i="2" l="1"/>
  <c r="D18" i="13"/>
  <c r="C18" i="13" s="1"/>
  <c r="D6" i="13"/>
  <c r="C6" i="13" s="1"/>
  <c r="E13" i="13"/>
  <c r="C13" i="13" s="1"/>
  <c r="C110" i="2"/>
  <c r="H462" i="1"/>
  <c r="H642" i="1" s="1"/>
  <c r="H193" i="1"/>
  <c r="G663" i="1"/>
  <c r="C119" i="2"/>
  <c r="A31" i="12"/>
  <c r="G646" i="1"/>
  <c r="J652" i="1"/>
  <c r="L402" i="1"/>
  <c r="C139" i="2" s="1"/>
  <c r="G662" i="1"/>
  <c r="F258" i="1"/>
  <c r="F272" i="1" s="1"/>
  <c r="C120" i="2"/>
  <c r="C20" i="10"/>
  <c r="C121" i="2"/>
  <c r="D50" i="2"/>
  <c r="C91" i="2"/>
  <c r="G618" i="1"/>
  <c r="F50" i="1"/>
  <c r="C11" i="10"/>
  <c r="F339" i="1"/>
  <c r="F353" i="1" s="1"/>
  <c r="J642" i="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H661" i="1" s="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H194" i="1"/>
  <c r="G140" i="1"/>
  <c r="B11" i="16" s="1"/>
  <c r="F140" i="1"/>
  <c r="G63" i="2"/>
  <c r="J619" i="1"/>
  <c r="G42" i="2"/>
  <c r="G50" i="2" s="1"/>
  <c r="J51" i="1"/>
  <c r="G16" i="2"/>
  <c r="G18" i="2" s="1"/>
  <c r="J19" i="1"/>
  <c r="G622" i="1" s="1"/>
  <c r="F546" i="1"/>
  <c r="H435" i="1"/>
  <c r="J621" i="1"/>
  <c r="D103" i="2"/>
  <c r="I140" i="1"/>
  <c r="A22" i="12"/>
  <c r="H649" i="1"/>
  <c r="J653" i="1"/>
  <c r="G572" i="1"/>
  <c r="I435" i="1"/>
  <c r="G435" i="1"/>
  <c r="I664" i="1"/>
  <c r="B17" i="16" l="1"/>
  <c r="B19" i="16" s="1"/>
  <c r="G473" i="1"/>
  <c r="E51" i="2"/>
  <c r="G647" i="1"/>
  <c r="J469" i="1"/>
  <c r="G630" i="1"/>
  <c r="H469" i="1"/>
  <c r="D51" i="2"/>
  <c r="H665" i="1"/>
  <c r="H668" i="1" s="1"/>
  <c r="E145" i="2"/>
  <c r="G36" i="14"/>
  <c r="H36" i="14" s="1"/>
  <c r="I36" i="14" s="1"/>
  <c r="F51" i="1"/>
  <c r="C49" i="2"/>
  <c r="C50" i="2" s="1"/>
  <c r="C81" i="2"/>
  <c r="F194" i="1"/>
  <c r="E104" i="2"/>
  <c r="C36" i="10"/>
  <c r="L435" i="1"/>
  <c r="F665" i="1"/>
  <c r="F668" i="1" s="1"/>
  <c r="I662" i="1"/>
  <c r="G104" i="2"/>
  <c r="L339" i="1"/>
  <c r="L353" i="1" s="1"/>
  <c r="J649" i="1"/>
  <c r="I194" i="1"/>
  <c r="G636" i="1"/>
  <c r="G51" i="2"/>
  <c r="D104" i="2"/>
  <c r="L409" i="1"/>
  <c r="C27" i="10"/>
  <c r="G4" i="14"/>
  <c r="H4" i="14" s="1"/>
  <c r="I4" i="14" s="1"/>
  <c r="L546" i="1"/>
  <c r="F104" i="2"/>
  <c r="B14" i="16"/>
  <c r="B22" i="16" s="1"/>
  <c r="E33" i="13"/>
  <c r="D35" i="13" s="1"/>
  <c r="J648" i="1"/>
  <c r="L258" i="1"/>
  <c r="L272"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G194" i="1"/>
  <c r="G627" i="1"/>
  <c r="J52" i="1"/>
  <c r="H622" i="1" s="1"/>
  <c r="J622" i="1" s="1"/>
  <c r="C38" i="10"/>
  <c r="G631" i="1" l="1"/>
  <c r="I469" i="1"/>
  <c r="G628" i="1"/>
  <c r="F469" i="1"/>
  <c r="G634" i="1"/>
  <c r="H473" i="1"/>
  <c r="G639" i="1"/>
  <c r="J473" i="1"/>
  <c r="G475" i="1"/>
  <c r="H636" i="1"/>
  <c r="J636" i="1" s="1"/>
  <c r="G633" i="1"/>
  <c r="F473" i="1"/>
  <c r="H632" i="1"/>
  <c r="J632" i="1" s="1"/>
  <c r="J471" i="1"/>
  <c r="H638" i="1"/>
  <c r="H673" i="1"/>
  <c r="C6" i="10" s="1"/>
  <c r="H471" i="1"/>
  <c r="H630" i="1"/>
  <c r="J630" i="1"/>
  <c r="G629" i="1"/>
  <c r="G469" i="1"/>
  <c r="C104" i="2"/>
  <c r="G623" i="1"/>
  <c r="F52" i="1"/>
  <c r="H618" i="1" s="1"/>
  <c r="J618" i="1"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C41" i="10"/>
  <c r="D38" i="10" s="1"/>
  <c r="H639" i="1" l="1"/>
  <c r="J475" i="1"/>
  <c r="J638" i="1"/>
  <c r="J477" i="1"/>
  <c r="H627" i="1" s="1"/>
  <c r="J627" i="1" s="1"/>
  <c r="J639" i="1"/>
  <c r="H477" i="1"/>
  <c r="H625" i="1" s="1"/>
  <c r="J625" i="1" s="1"/>
  <c r="H634" i="1"/>
  <c r="H475" i="1"/>
  <c r="I471" i="1"/>
  <c r="I477" i="1" s="1"/>
  <c r="H626" i="1" s="1"/>
  <c r="J626" i="1" s="1"/>
  <c r="H631" i="1"/>
  <c r="J631" i="1" s="1"/>
  <c r="H633" i="1"/>
  <c r="J633" i="1" s="1"/>
  <c r="F475" i="1"/>
  <c r="F471" i="1"/>
  <c r="F477" i="1" s="1"/>
  <c r="H623" i="1" s="1"/>
  <c r="J623" i="1" s="1"/>
  <c r="H628" i="1"/>
  <c r="J628" i="1" s="1"/>
  <c r="J634" i="1"/>
  <c r="G471" i="1"/>
  <c r="G477" i="1" s="1"/>
  <c r="H629" i="1"/>
  <c r="J629" i="1"/>
  <c r="I668" i="1"/>
  <c r="D28" i="10"/>
  <c r="D37" i="10"/>
  <c r="D36" i="10"/>
  <c r="D35" i="10"/>
  <c r="D40" i="10"/>
  <c r="D39" i="10"/>
  <c r="H624" i="1" l="1"/>
  <c r="B33" i="16"/>
  <c r="D41" i="10"/>
  <c r="J624" i="1" l="1"/>
  <c r="H657" i="1"/>
  <c r="F33" i="13"/>
  <c r="D15" i="13"/>
  <c r="C15" i="13" s="1"/>
  <c r="D33" i="13" l="1"/>
  <c r="D36" i="13"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<sst xmlns="http://schemas.openxmlformats.org/spreadsheetml/2006/main" count="5546" uniqueCount="1643">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</sst>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24" activePane="bottomRight" state="frozen"/>
      <selection pane="topRight" activeCell="F1" sqref="F1"/>
      <selection pane="bottomLeft" activeCell="A4" sqref="A4"/>
      <selection pane="bottomRight" activeCell="L668" sqref="L66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327304</v>
      </c>
      <c r="G9" s="18"/>
      <c r="H9" s="18"/>
      <c r="I9" s="18"/>
      <c r="J9" s="67">
        <f>SUM(I440)</f>
        <v>322124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9177-2082</f>
        <v>7095</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0</v>
      </c>
      <c r="H13" s="18">
        <f>3420+351</f>
        <v>3771</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9633</v>
      </c>
      <c r="G14" s="18"/>
      <c r="H14" s="4"/>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344032</v>
      </c>
      <c r="G19" s="41">
        <f>SUM(G9:G18)</f>
        <v>0</v>
      </c>
      <c r="H19" s="41">
        <f>SUM(H9:H18)</f>
        <v>3771</v>
      </c>
      <c r="I19" s="41">
        <f>SUM(I9:I18)</f>
        <v>0</v>
      </c>
      <c r="J19" s="41">
        <f>SUM(J9:J18)</f>
        <v>322124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2597-135</f>
        <v>2462</v>
      </c>
      <c r="H22" s="18">
        <v>2240</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2462</v>
      </c>
      <c r="H32" s="41">
        <f>SUM(H22:H31)</f>
        <v>2240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-2462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60614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9000</v>
      </c>
      <c r="G48" s="18"/>
      <c r="H48" s="18">
        <v>1531</v>
      </c>
      <c r="I48" s="18"/>
      <c r="J48" s="13">
        <f>SUM(I460)</f>
        <v>322124</v>
      </c>
      <c r="K48" s="24" t="s">
        <v>288</v>
      </c>
      <c r="L48" s="24" t="s">
        <v>288</v>
      </c>
      <c r="M48" s="8"/>
      <c r="N48" s="266"/>
    </row>
    <row r="49" spans="1:14" s="3" customFormat="1" ht="12.2" customHeight="1" x14ac:dyDescent="0.15">
      <c r="A49" s="1" t="s">
        <v>859</v>
      </c>
      <c r="B49" s="2" t="s">
        <v>289</v>
      </c>
      <c r="C49" s="6">
        <v>34</v>
      </c>
      <c r="D49" s="2"/>
      <c r="E49" s="6">
        <v>753</v>
      </c>
      <c r="F49" s="18">
        <v>671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F19-F32-F44-F46-F48-F49</f>
        <v>223747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344032</v>
      </c>
      <c r="G51" s="41">
        <f>SUM(G35:G50)</f>
        <v>-2462</v>
      </c>
      <c r="H51" s="41">
        <f>SUM(H35:H50)</f>
        <v>1531</v>
      </c>
      <c r="I51" s="41">
        <f>SUM(I35:I50)</f>
        <v>0</v>
      </c>
      <c r="J51" s="41">
        <f>SUM(J35:J50)</f>
        <v>322124</v>
      </c>
      <c r="K51" s="45" t="s">
        <v>288</v>
      </c>
      <c r="L51" s="45" t="s">
        <v>288</v>
      </c>
      <c r="N51" s="264"/>
    </row>
    <row r="52" spans="1:14" s="3" customFormat="1" ht="12.2" customHeight="1" thickTop="1" x14ac:dyDescent="0.15">
      <c r="A52" s="38" t="s">
        <v>455</v>
      </c>
      <c r="B52" s="39" t="s">
        <v>289</v>
      </c>
      <c r="C52" s="6">
        <v>37</v>
      </c>
      <c r="D52" s="39" t="s">
        <v>653</v>
      </c>
      <c r="E52" s="39"/>
      <c r="F52" s="41">
        <f>F51+F32</f>
        <v>344032</v>
      </c>
      <c r="G52" s="41">
        <f>G51+G32</f>
        <v>0</v>
      </c>
      <c r="H52" s="41">
        <f>H51+H32</f>
        <v>3771</v>
      </c>
      <c r="I52" s="41">
        <f>I51+I32</f>
        <v>0</v>
      </c>
      <c r="J52" s="41">
        <f>J51+J32</f>
        <v>322124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2110760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2110760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20535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20535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5051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5051</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2131295</v>
      </c>
      <c r="G112" s="41">
        <f>G60+G111</f>
        <v>5051</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29522+2243</f>
        <v>31765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483895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515660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30097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312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30097</v>
      </c>
      <c r="G136" s="41">
        <f>SUM(G123:G135)</f>
        <v>312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545757</v>
      </c>
      <c r="G140" s="41">
        <f>G121+SUM(G136:G137)</f>
        <v>312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2598</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17350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37894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9950+2428</f>
        <v>12378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2020</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2020</v>
      </c>
      <c r="G163" s="41">
        <f>SUM(G150:G162)</f>
        <v>12378</v>
      </c>
      <c r="H163" s="41">
        <f>SUM(H150:H162)</f>
        <v>57842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2020</v>
      </c>
      <c r="G170" s="41">
        <f>G147+G163+SUM(G164:G169)</f>
        <v>12378</v>
      </c>
      <c r="H170" s="41">
        <f>H147+H163+SUM(H164:H169)</f>
        <v>57842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167</v>
      </c>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167</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9000</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9000</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167</v>
      </c>
      <c r="G193" s="41">
        <f>G184+SUM(G189:G192)</f>
        <v>9000</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2679239</v>
      </c>
      <c r="G194" s="47">
        <f>G112+G140+G170+G193</f>
        <v>26741</v>
      </c>
      <c r="H194" s="47">
        <f>H112+H140+H170+H193</f>
        <v>57842</v>
      </c>
      <c r="I194" s="47">
        <f>I112+I140+I170+I193</f>
        <v>0</v>
      </c>
      <c r="J194" s="47">
        <f>J112+J140+J193</f>
        <v>50000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275437</v>
      </c>
      <c r="G198" s="18">
        <v>108428</v>
      </c>
      <c r="H198" s="18">
        <v>20338</v>
      </c>
      <c r="I198" s="18">
        <v>8731</v>
      </c>
      <c r="J198" s="18">
        <v>0</v>
      </c>
      <c r="K198" s="18">
        <v>1105</v>
      </c>
      <c r="L198" s="19">
        <f>SUM(F198:K198)</f>
        <v>414039</v>
      </c>
      <c r="M198" s="8"/>
      <c r="N198" s="266"/>
    </row>
    <row r="199" spans="1:14" s="3" customFormat="1" ht="12.2" customHeight="1" x14ac:dyDescent="0.15">
      <c r="A199" s="1" t="s">
        <v>439</v>
      </c>
      <c r="B199" s="2" t="s">
        <v>341</v>
      </c>
      <c r="C199" s="2" t="s">
        <v>291</v>
      </c>
      <c r="D199" s="2" t="s">
        <v>431</v>
      </c>
      <c r="E199" s="6">
        <v>1200</v>
      </c>
      <c r="F199" s="18">
        <v>23235</v>
      </c>
      <c r="G199" s="18">
        <v>10061</v>
      </c>
      <c r="H199" s="18">
        <v>158</v>
      </c>
      <c r="I199" s="18">
        <v>0</v>
      </c>
      <c r="J199" s="18"/>
      <c r="K199" s="18"/>
      <c r="L199" s="19">
        <f>SUM(F199:K199)</f>
        <v>33454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5472</v>
      </c>
      <c r="G203" s="18">
        <v>419</v>
      </c>
      <c r="H203" s="18">
        <v>20308</v>
      </c>
      <c r="I203" s="18">
        <v>786</v>
      </c>
      <c r="J203" s="18"/>
      <c r="K203" s="18"/>
      <c r="L203" s="19">
        <f t="shared" ref="L203:L209" si="0">SUM(F203:K203)</f>
        <v>26985</v>
      </c>
      <c r="M203" s="8"/>
      <c r="N203" s="266"/>
    </row>
    <row r="204" spans="1:14" s="3" customFormat="1" ht="12.2" customHeight="1" x14ac:dyDescent="0.15">
      <c r="A204" s="1" t="s">
        <v>443</v>
      </c>
      <c r="B204" s="2" t="s">
        <v>341</v>
      </c>
      <c r="C204" s="2" t="s">
        <v>295</v>
      </c>
      <c r="D204" s="2" t="s">
        <v>431</v>
      </c>
      <c r="E204" s="6">
        <v>2200</v>
      </c>
      <c r="F204" s="18">
        <v>805</v>
      </c>
      <c r="G204" s="18">
        <v>1023</v>
      </c>
      <c r="H204" s="18">
        <v>0</v>
      </c>
      <c r="I204" s="18">
        <v>3031</v>
      </c>
      <c r="J204" s="18">
        <v>1340</v>
      </c>
      <c r="K204" s="18"/>
      <c r="L204" s="19">
        <f t="shared" si="0"/>
        <v>6199</v>
      </c>
      <c r="M204" s="8"/>
      <c r="N204" s="266"/>
    </row>
    <row r="205" spans="1:14" s="3" customFormat="1" ht="12.2" customHeight="1" x14ac:dyDescent="0.15">
      <c r="A205" s="1" t="s">
        <v>444</v>
      </c>
      <c r="B205" s="2" t="s">
        <v>341</v>
      </c>
      <c r="C205" s="2" t="s">
        <v>296</v>
      </c>
      <c r="D205" s="2" t="s">
        <v>431</v>
      </c>
      <c r="E205" s="6">
        <v>2300</v>
      </c>
      <c r="F205" s="18">
        <v>1521</v>
      </c>
      <c r="G205" s="18">
        <v>1415</v>
      </c>
      <c r="H205" s="18">
        <f>60373+11187+3897+442</f>
        <v>75899</v>
      </c>
      <c r="I205" s="18"/>
      <c r="J205" s="18"/>
      <c r="K205" s="18">
        <v>1237</v>
      </c>
      <c r="L205" s="19">
        <f t="shared" si="0"/>
        <v>80072</v>
      </c>
      <c r="M205" s="8"/>
      <c r="N205" s="266"/>
    </row>
    <row r="206" spans="1:14" s="3" customFormat="1" ht="12.2" customHeight="1" x14ac:dyDescent="0.15">
      <c r="A206" s="1" t="s">
        <v>445</v>
      </c>
      <c r="B206" s="2" t="s">
        <v>341</v>
      </c>
      <c r="C206" s="2" t="s">
        <v>297</v>
      </c>
      <c r="D206" s="2" t="s">
        <v>431</v>
      </c>
      <c r="E206" s="6">
        <v>2400</v>
      </c>
      <c r="F206" s="18">
        <v>62188</v>
      </c>
      <c r="G206" s="18">
        <v>16364</v>
      </c>
      <c r="H206" s="18"/>
      <c r="I206" s="18"/>
      <c r="J206" s="18"/>
      <c r="K206" s="18"/>
      <c r="L206" s="19">
        <f t="shared" si="0"/>
        <v>78552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38205</v>
      </c>
      <c r="G208" s="18">
        <v>16610</v>
      </c>
      <c r="H208" s="18">
        <v>29161</v>
      </c>
      <c r="I208" s="18">
        <v>29370</v>
      </c>
      <c r="J208" s="18">
        <v>9237</v>
      </c>
      <c r="K208" s="18"/>
      <c r="L208" s="19">
        <f t="shared" si="0"/>
        <v>122583</v>
      </c>
      <c r="M208" s="8"/>
      <c r="N208" s="266"/>
    </row>
    <row r="209" spans="1:14" s="3" customFormat="1" ht="12.2" customHeight="1" x14ac:dyDescent="0.15">
      <c r="A209" s="1" t="s">
        <v>448</v>
      </c>
      <c r="B209" s="2" t="s">
        <v>341</v>
      </c>
      <c r="C209" s="2" t="s">
        <v>300</v>
      </c>
      <c r="D209" s="2" t="s">
        <v>431</v>
      </c>
      <c r="E209" s="6">
        <v>2700</v>
      </c>
      <c r="F209" s="18"/>
      <c r="G209" s="18"/>
      <c r="H209" s="18">
        <v>59856</v>
      </c>
      <c r="I209" s="18"/>
      <c r="J209" s="18"/>
      <c r="K209" s="18"/>
      <c r="L209" s="19">
        <f t="shared" si="0"/>
        <v>59856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406863</v>
      </c>
      <c r="G212" s="41">
        <f t="shared" si="1"/>
        <v>154320</v>
      </c>
      <c r="H212" s="41">
        <f t="shared" si="1"/>
        <v>205720</v>
      </c>
      <c r="I212" s="41">
        <f t="shared" si="1"/>
        <v>41918</v>
      </c>
      <c r="J212" s="41">
        <f t="shared" si="1"/>
        <v>10577</v>
      </c>
      <c r="K212" s="41">
        <f t="shared" si="1"/>
        <v>2342</v>
      </c>
      <c r="L212" s="41">
        <f t="shared" si="1"/>
        <v>821740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689141</v>
      </c>
      <c r="I216" s="18"/>
      <c r="J216" s="18"/>
      <c r="K216" s="18"/>
      <c r="L216" s="19">
        <f>SUM(F216:K216)</f>
        <v>689141</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1124</v>
      </c>
      <c r="G223" s="18">
        <v>1046</v>
      </c>
      <c r="H223" s="18">
        <f>44624+327</f>
        <v>44951</v>
      </c>
      <c r="I223" s="18"/>
      <c r="J223" s="18"/>
      <c r="K223" s="18">
        <v>915</v>
      </c>
      <c r="L223" s="19">
        <f t="shared" si="2"/>
        <v>48036</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44165</v>
      </c>
      <c r="I227" s="18"/>
      <c r="J227" s="18"/>
      <c r="K227" s="18"/>
      <c r="L227" s="19">
        <f t="shared" si="2"/>
        <v>44165</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1124</v>
      </c>
      <c r="G230" s="41">
        <f>SUM(G216:G229)</f>
        <v>1046</v>
      </c>
      <c r="H230" s="41">
        <f>SUM(H216:H229)</f>
        <v>778257</v>
      </c>
      <c r="I230" s="41">
        <f>SUM(I216:I229)</f>
        <v>0</v>
      </c>
      <c r="J230" s="41">
        <f>SUM(J216:J229)</f>
        <v>0</v>
      </c>
      <c r="K230" s="41">
        <f t="shared" si="3"/>
        <v>915</v>
      </c>
      <c r="L230" s="41">
        <f t="shared" si="3"/>
        <v>781342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798039</v>
      </c>
      <c r="I234" s="18"/>
      <c r="J234" s="18"/>
      <c r="K234" s="18"/>
      <c r="L234" s="19">
        <f>SUM(F234:K234)</f>
        <v>798039</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1355</v>
      </c>
      <c r="G241" s="18">
        <v>1261</v>
      </c>
      <c r="H241" s="18">
        <f>53811+394</f>
        <v>54205</v>
      </c>
      <c r="I241" s="18"/>
      <c r="J241" s="18"/>
      <c r="K241" s="18">
        <v>1103</v>
      </c>
      <c r="L241" s="19">
        <f t="shared" si="4"/>
        <v>57924</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53257</v>
      </c>
      <c r="I245" s="18"/>
      <c r="J245" s="18"/>
      <c r="K245" s="18"/>
      <c r="L245" s="19">
        <f t="shared" si="4"/>
        <v>53257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1355</v>
      </c>
      <c r="G248" s="41">
        <f t="shared" si="5"/>
        <v>1261</v>
      </c>
      <c r="H248" s="41">
        <f t="shared" si="5"/>
        <v>905501</v>
      </c>
      <c r="I248" s="41">
        <f t="shared" si="5"/>
        <v>0</v>
      </c>
      <c r="J248" s="41">
        <f t="shared" si="5"/>
        <v>0</v>
      </c>
      <c r="K248" s="41">
        <f t="shared" si="5"/>
        <v>1103</v>
      </c>
      <c r="L248" s="41">
        <f t="shared" si="5"/>
        <v>909220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409342</v>
      </c>
      <c r="G258" s="41">
        <f t="shared" si="8"/>
        <v>156627</v>
      </c>
      <c r="H258" s="41">
        <f t="shared" si="8"/>
        <v>1889478</v>
      </c>
      <c r="I258" s="41">
        <f t="shared" si="8"/>
        <v>41918</v>
      </c>
      <c r="J258" s="41">
        <f t="shared" si="8"/>
        <v>10577</v>
      </c>
      <c r="K258" s="41">
        <f t="shared" si="8"/>
        <v>4360</v>
      </c>
      <c r="L258" s="41">
        <f t="shared" si="8"/>
        <v>2512302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9000</v>
      </c>
      <c r="L264" s="19">
        <f>SUM(F264:K264)</f>
        <v>9000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59000</v>
      </c>
      <c r="L271" s="41">
        <f t="shared" si="9"/>
        <v>59000</v>
      </c>
      <c r="M271" s="8"/>
      <c r="N271" s="266"/>
    </row>
    <row r="272" spans="1:14" s="34" customFormat="1" ht="12.2" customHeight="1" thickTop="1" x14ac:dyDescent="0.2">
      <c r="A272" s="43" t="s">
        <v>464</v>
      </c>
      <c r="B272" s="40">
        <v>10</v>
      </c>
      <c r="C272" s="40">
        <v>18</v>
      </c>
      <c r="D272" s="39" t="s">
        <v>431</v>
      </c>
      <c r="E272" s="40"/>
      <c r="F272" s="42">
        <f t="shared" ref="F272:L272" si="11">F258+F271</f>
        <v>409342</v>
      </c>
      <c r="G272" s="42">
        <f t="shared" si="11"/>
        <v>156627</v>
      </c>
      <c r="H272" s="42">
        <f t="shared" si="11"/>
        <v>1889478</v>
      </c>
      <c r="I272" s="42">
        <f t="shared" si="11"/>
        <v>41918</v>
      </c>
      <c r="J272" s="42">
        <f t="shared" si="11"/>
        <v>10577</v>
      </c>
      <c r="K272" s="42">
        <f t="shared" si="11"/>
        <v>63360</v>
      </c>
      <c r="L272" s="42">
        <f t="shared" si="11"/>
        <v>2571302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12383</v>
      </c>
      <c r="G277" s="18">
        <v>1365</v>
      </c>
      <c r="H277" s="18">
        <f>12210+1193</f>
        <v>13403</v>
      </c>
      <c r="I277" s="18">
        <v>9731</v>
      </c>
      <c r="J277" s="18"/>
      <c r="K277" s="18">
        <v>2213</v>
      </c>
      <c r="L277" s="19">
        <f>SUM(F277:K277)</f>
        <v>39095</v>
      </c>
      <c r="M277" s="8"/>
      <c r="N277" s="266"/>
    </row>
    <row r="278" spans="1:14" s="3" customFormat="1" ht="12.2" customHeight="1" x14ac:dyDescent="0.15">
      <c r="A278" s="1" t="s">
        <v>439</v>
      </c>
      <c r="B278" s="2" t="s">
        <v>357</v>
      </c>
      <c r="C278" s="2" t="s">
        <v>291</v>
      </c>
      <c r="D278" s="2" t="s">
        <v>431</v>
      </c>
      <c r="E278" s="6">
        <v>1200</v>
      </c>
      <c r="F278" s="18">
        <v>500</v>
      </c>
      <c r="G278" s="18">
        <v>127</v>
      </c>
      <c r="H278" s="18">
        <v>19245</v>
      </c>
      <c r="I278" s="18">
        <v>256</v>
      </c>
      <c r="J278" s="18"/>
      <c r="K278" s="18">
        <v>1183</v>
      </c>
      <c r="L278" s="19">
        <f>SUM(F278:K278)</f>
        <v>21311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12883</v>
      </c>
      <c r="G291" s="42">
        <f t="shared" si="13"/>
        <v>1492</v>
      </c>
      <c r="H291" s="42">
        <f t="shared" si="13"/>
        <v>32648</v>
      </c>
      <c r="I291" s="42">
        <f t="shared" si="13"/>
        <v>9987</v>
      </c>
      <c r="J291" s="42">
        <f t="shared" si="13"/>
        <v>0</v>
      </c>
      <c r="K291" s="42">
        <f t="shared" si="13"/>
        <v>3396</v>
      </c>
      <c r="L291" s="41">
        <f t="shared" si="13"/>
        <v>60406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12883</v>
      </c>
      <c r="G339" s="41">
        <f t="shared" si="20"/>
        <v>1492</v>
      </c>
      <c r="H339" s="41">
        <f t="shared" si="20"/>
        <v>32648</v>
      </c>
      <c r="I339" s="41">
        <f t="shared" si="20"/>
        <v>9987</v>
      </c>
      <c r="J339" s="41">
        <f t="shared" si="20"/>
        <v>0</v>
      </c>
      <c r="K339" s="41">
        <f t="shared" si="20"/>
        <v>3396</v>
      </c>
      <c r="L339" s="41">
        <f t="shared" si="20"/>
        <v>60406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12883</v>
      </c>
      <c r="G353" s="41">
        <f>G339</f>
        <v>1492</v>
      </c>
      <c r="H353" s="41">
        <f>H339</f>
        <v>32648</v>
      </c>
      <c r="I353" s="41">
        <f>I339</f>
        <v>9987</v>
      </c>
      <c r="J353" s="41">
        <f>J339</f>
        <v>0</v>
      </c>
      <c r="K353" s="47">
        <f>K339+K352</f>
        <v>3396</v>
      </c>
      <c r="L353" s="41">
        <f>L339+L352</f>
        <v>60406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17764</v>
      </c>
      <c r="G359" s="18">
        <v>1359</v>
      </c>
      <c r="H359" s="18"/>
      <c r="I359" s="18">
        <f>669+1824+7088</f>
        <v>9581</v>
      </c>
      <c r="J359" s="18">
        <v>4295</v>
      </c>
      <c r="K359" s="18"/>
      <c r="L359" s="13">
        <f>SUM(F359:K359)</f>
        <v>32999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17764</v>
      </c>
      <c r="G363" s="47">
        <f t="shared" si="22"/>
        <v>1359</v>
      </c>
      <c r="H363" s="47">
        <f t="shared" si="22"/>
        <v>0</v>
      </c>
      <c r="I363" s="47">
        <f t="shared" si="22"/>
        <v>9581</v>
      </c>
      <c r="J363" s="47">
        <f t="shared" si="22"/>
        <v>4295</v>
      </c>
      <c r="K363" s="47">
        <f t="shared" si="22"/>
        <v>0</v>
      </c>
      <c r="L363" s="47">
        <f t="shared" si="22"/>
        <v>32999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1824+7088</f>
        <v>8912</v>
      </c>
      <c r="G368" s="18"/>
      <c r="H368" s="18"/>
      <c r="I368" s="56">
        <f>SUM(F368:H368)</f>
        <v>8912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669</v>
      </c>
      <c r="G369" s="63"/>
      <c r="H369" s="63"/>
      <c r="I369" s="56">
        <f>SUM(F369:H369)</f>
        <v>669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9581</v>
      </c>
      <c r="G370" s="47">
        <f>SUM(G368:G369)</f>
        <v>0</v>
      </c>
      <c r="H370" s="47">
        <f>SUM(H368:H369)</f>
        <v>0</v>
      </c>
      <c r="I370" s="47">
        <f>SUM(I368:I369)</f>
        <v>9581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30000</v>
      </c>
      <c r="H397" s="18"/>
      <c r="I397" s="18"/>
      <c r="J397" s="24" t="s">
        <v>288</v>
      </c>
      <c r="K397" s="24" t="s">
        <v>288</v>
      </c>
      <c r="L397" s="56">
        <f t="shared" si="26"/>
        <v>30000</v>
      </c>
      <c r="M397" s="8"/>
      <c r="N397" s="266"/>
    </row>
    <row r="398" spans="1:14" s="3" customFormat="1" ht="12.2" customHeight="1" x14ac:dyDescent="0.15">
      <c r="A398" s="79" t="s">
        <v>515</v>
      </c>
      <c r="B398" s="2" t="s">
        <v>381</v>
      </c>
      <c r="C398" s="6">
        <v>10</v>
      </c>
      <c r="D398" s="2" t="s">
        <v>432</v>
      </c>
      <c r="E398" s="6"/>
      <c r="F398" s="18"/>
      <c r="G398" s="18">
        <v>20000</v>
      </c>
      <c r="H398" s="18"/>
      <c r="I398" s="18"/>
      <c r="J398" s="24" t="s">
        <v>288</v>
      </c>
      <c r="K398" s="24" t="s">
        <v>288</v>
      </c>
      <c r="L398" s="56">
        <f t="shared" si="26"/>
        <v>20000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0</v>
      </c>
      <c r="I402" s="47">
        <f>SUM(I396:I401)</f>
        <v>0</v>
      </c>
      <c r="J402" s="45" t="s">
        <v>288</v>
      </c>
      <c r="K402" s="45" t="s">
        <v>288</v>
      </c>
      <c r="L402" s="47">
        <f>SUM(L396:L401)</f>
        <v>50000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0</v>
      </c>
      <c r="I409" s="47">
        <f>I394+I402+I408</f>
        <v>0</v>
      </c>
      <c r="J409" s="24" t="s">
        <v>288</v>
      </c>
      <c r="K409" s="24" t="s">
        <v>288</v>
      </c>
      <c r="L409" s="47">
        <f>L394+L402+L408</f>
        <v>50000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f>272124+50000</f>
        <v>322124</v>
      </c>
      <c r="H440" s="18"/>
      <c r="I440" s="56">
        <f t="shared" ref="I440:I446" si="33">SUM(F440:H440)</f>
        <v>322124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322124</v>
      </c>
      <c r="H447" s="13">
        <f>SUM(H440:H446)</f>
        <v>0</v>
      </c>
      <c r="I447" s="13">
        <f>SUM(I440:I446)</f>
        <v>322124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G440</f>
        <v>322124</v>
      </c>
      <c r="H460" s="18"/>
      <c r="I460" s="56">
        <f t="shared" si="34"/>
        <v>322124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322124</v>
      </c>
      <c r="H461" s="83">
        <f>SUM(H455:H460)</f>
        <v>0</v>
      </c>
      <c r="I461" s="83">
        <f>SUM(I455:I460)</f>
        <v>322124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322124</v>
      </c>
      <c r="H462" s="42">
        <f>H453+H461</f>
        <v>0</v>
      </c>
      <c r="I462" s="42">
        <f>I453+I461</f>
        <v>322124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149727+86368</f>
        <v>236095</v>
      </c>
      <c r="G466" s="18">
        <v>3796</v>
      </c>
      <c r="H466" s="18">
        <v>4095</v>
      </c>
      <c r="I466" s="18"/>
      <c r="J466" s="18">
        <v>272124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2679239</v>
      </c>
      <c r="G469" s="18">
        <f t="shared" ref="G469:J469" si="35">G194</f>
        <v>26741</v>
      </c>
      <c r="H469" s="18">
        <f t="shared" si="35"/>
        <v>57842</v>
      </c>
      <c r="I469" s="18">
        <f t="shared" si="35"/>
        <v>0</v>
      </c>
      <c r="J469" s="18">
        <f t="shared" si="35"/>
        <v>50000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2679239</v>
      </c>
      <c r="G471" s="53">
        <f>SUM(G469:G470)</f>
        <v>26741</v>
      </c>
      <c r="H471" s="53">
        <f>SUM(H469:H470)</f>
        <v>57842</v>
      </c>
      <c r="I471" s="53">
        <f>SUM(I469:I470)</f>
        <v>0</v>
      </c>
      <c r="J471" s="53">
        <f>SUM(J469:J470)</f>
        <v>50000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2571302</v>
      </c>
      <c r="G473" s="18">
        <f>L363</f>
        <v>32999</v>
      </c>
      <c r="H473" s="18">
        <f>L353</f>
        <v>60406</v>
      </c>
      <c r="I473" s="18"/>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2571302</v>
      </c>
      <c r="G475" s="53">
        <f>SUM(G473:G474)</f>
        <v>32999</v>
      </c>
      <c r="H475" s="53">
        <f>SUM(H473:H474)</f>
        <v>60406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344032</v>
      </c>
      <c r="G477" s="53">
        <f>(G466+G471)- G475</f>
        <v>-2462</v>
      </c>
      <c r="H477" s="53">
        <f>(H466+H471)- H475</f>
        <v>1531</v>
      </c>
      <c r="I477" s="53">
        <f>(I466+I471)- I475</f>
        <v>0</v>
      </c>
      <c r="J477" s="53">
        <f>(J466+J471)- J475</f>
        <v>322124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23235</v>
      </c>
      <c r="G522" s="18">
        <v>10061</v>
      </c>
      <c r="H522" s="18">
        <v>158</v>
      </c>
      <c r="I522" s="18"/>
      <c r="J522" s="18"/>
      <c r="K522" s="18"/>
      <c r="L522" s="88">
        <f>SUM(F522:K522)</f>
        <v>33454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23235</v>
      </c>
      <c r="G525" s="108">
        <f t="shared" ref="G525:L525" si="37">SUM(G522:G524)</f>
        <v>10061</v>
      </c>
      <c r="H525" s="108">
        <f t="shared" si="37"/>
        <v>158</v>
      </c>
      <c r="I525" s="108">
        <f t="shared" si="37"/>
        <v>0</v>
      </c>
      <c r="J525" s="108">
        <f t="shared" si="37"/>
        <v>0</v>
      </c>
      <c r="K525" s="108">
        <f t="shared" si="37"/>
        <v>0</v>
      </c>
      <c r="L525" s="89">
        <f t="shared" si="37"/>
        <v>33454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0</v>
      </c>
      <c r="I530" s="89">
        <f t="shared" si="38"/>
        <v>0</v>
      </c>
      <c r="J530" s="89">
        <f t="shared" si="38"/>
        <v>0</v>
      </c>
      <c r="K530" s="89">
        <f t="shared" si="38"/>
        <v>0</v>
      </c>
      <c r="L530" s="89">
        <f t="shared" si="38"/>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0</v>
      </c>
      <c r="I535" s="89">
        <f t="shared" si="39"/>
        <v>0</v>
      </c>
      <c r="J535" s="89">
        <f t="shared" si="39"/>
        <v>0</v>
      </c>
      <c r="K535" s="89">
        <f t="shared" si="39"/>
        <v>0</v>
      </c>
      <c r="L535" s="89">
        <f t="shared" si="39"/>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0</v>
      </c>
      <c r="I545" s="193">
        <f t="shared" si="41"/>
        <v>0</v>
      </c>
      <c r="J545" s="193">
        <f t="shared" si="41"/>
        <v>0</v>
      </c>
      <c r="K545" s="193">
        <f t="shared" si="41"/>
        <v>0</v>
      </c>
      <c r="L545" s="193">
        <f t="shared" si="41"/>
        <v>0</v>
      </c>
      <c r="M545" s="8"/>
      <c r="N545" s="266"/>
    </row>
    <row r="546" spans="1:14" s="3" customFormat="1" ht="12.2" customHeight="1" thickTop="1" x14ac:dyDescent="0.15">
      <c r="A546" s="98" t="s">
        <v>72</v>
      </c>
      <c r="B546" s="107">
        <v>21</v>
      </c>
      <c r="C546" s="107">
        <v>21</v>
      </c>
      <c r="D546" s="158" t="s">
        <v>432</v>
      </c>
      <c r="E546" s="107"/>
      <c r="F546" s="89">
        <f>F525+F530+F535+F540+F545</f>
        <v>23235</v>
      </c>
      <c r="G546" s="89">
        <f t="shared" ref="G546:L546" si="42">G525+G530+G535+G540+G545</f>
        <v>10061</v>
      </c>
      <c r="H546" s="89">
        <f t="shared" si="42"/>
        <v>158</v>
      </c>
      <c r="I546" s="89">
        <f t="shared" si="42"/>
        <v>0</v>
      </c>
      <c r="J546" s="89">
        <f t="shared" si="42"/>
        <v>0</v>
      </c>
      <c r="K546" s="89">
        <f t="shared" si="42"/>
        <v>0</v>
      </c>
      <c r="L546" s="89">
        <f t="shared" si="42"/>
        <v>33454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33454</v>
      </c>
      <c r="G550" s="87">
        <f>L527</f>
        <v>0</v>
      </c>
      <c r="H550" s="87">
        <f>L532</f>
        <v>0</v>
      </c>
      <c r="I550" s="87">
        <f>L537</f>
        <v>0</v>
      </c>
      <c r="J550" s="87">
        <f>L542</f>
        <v>0</v>
      </c>
      <c r="K550" s="87">
        <f>SUM(F550:J550)</f>
        <v>33454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33454</v>
      </c>
      <c r="G553" s="89">
        <f t="shared" si="43"/>
        <v>0</v>
      </c>
      <c r="H553" s="89">
        <f t="shared" si="43"/>
        <v>0</v>
      </c>
      <c r="I553" s="89">
        <f t="shared" si="43"/>
        <v>0</v>
      </c>
      <c r="J553" s="89">
        <f t="shared" si="43"/>
        <v>0</v>
      </c>
      <c r="K553" s="89">
        <f t="shared" si="43"/>
        <v>33454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20034</v>
      </c>
      <c r="G576" s="18">
        <v>689141</v>
      </c>
      <c r="H576" s="18">
        <v>798039</v>
      </c>
      <c r="I576" s="87">
        <f>SUM(F576:H576)</f>
        <v>1507214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59752</v>
      </c>
      <c r="I592" s="18">
        <v>44165</v>
      </c>
      <c r="J592" s="18">
        <v>53257</v>
      </c>
      <c r="K592" s="104">
        <f t="shared" ref="K592:K598" si="49">SUM(H592:J592)</f>
        <v>157174</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9"/>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104</v>
      </c>
      <c r="I596" s="18"/>
      <c r="J596" s="18"/>
      <c r="K596" s="104">
        <f t="shared" si="49"/>
        <v>104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59856</v>
      </c>
      <c r="I599" s="108">
        <f>SUM(I592:I598)</f>
        <v>44165</v>
      </c>
      <c r="J599" s="108">
        <f>SUM(J592:J598)</f>
        <v>53257</v>
      </c>
      <c r="K599" s="108">
        <f>SUM(K592:K598)</f>
        <v>157278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10577</v>
      </c>
      <c r="I605" s="18"/>
      <c r="J605" s="18"/>
      <c r="K605" s="104">
        <f>SUM(H605:J605)</f>
        <v>10577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10577</v>
      </c>
      <c r="I606" s="108">
        <f>SUM(I603:I605)</f>
        <v>0</v>
      </c>
      <c r="J606" s="108">
        <f>SUM(J603:J605)</f>
        <v>0</v>
      </c>
      <c r="K606" s="108">
        <f>SUM(K603:K605)</f>
        <v>10577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344032</v>
      </c>
      <c r="H618" s="109">
        <f>SUM(F52)</f>
        <v>344032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3771</v>
      </c>
      <c r="H620" s="109">
        <f>SUM(H52)</f>
        <v>3771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322124</v>
      </c>
      <c r="H622" s="109">
        <f>SUM(J52)</f>
        <v>322124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344032</v>
      </c>
      <c r="H623" s="109">
        <f>F477</f>
        <v>344032</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-2462</v>
      </c>
      <c r="H624" s="109">
        <f>G477</f>
        <v>-2462</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1531</v>
      </c>
      <c r="H625" s="109">
        <f>H477</f>
        <v>1531</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322124</v>
      </c>
      <c r="H627" s="109">
        <f>J477</f>
        <v>322124</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2679239</v>
      </c>
      <c r="H628" s="104">
        <f>SUM(F469)</f>
        <v>2679239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26741</v>
      </c>
      <c r="H629" s="104">
        <f>SUM(G469)</f>
        <v>26741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57842</v>
      </c>
      <c r="H630" s="104">
        <f>SUM(H469)</f>
        <v>57842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50000</v>
      </c>
      <c r="H632" s="104">
        <f>SUM(J469)</f>
        <v>50000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2571302</v>
      </c>
      <c r="H633" s="104">
        <f>SUM(F473)</f>
        <v>2571302</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60406</v>
      </c>
      <c r="H634" s="104">
        <f>SUM(H473)</f>
        <v>60406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9581</v>
      </c>
      <c r="H635" s="104">
        <f>I370</f>
        <v>9581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32999</v>
      </c>
      <c r="H636" s="104">
        <f>SUM(G473)</f>
        <v>32999</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50000</v>
      </c>
      <c r="H638" s="164">
        <f>SUM(J469)</f>
        <v>50000</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322124</v>
      </c>
      <c r="H641" s="104">
        <f>SUM(G462)</f>
        <v>322124</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322124</v>
      </c>
      <c r="H643" s="104">
        <f>SUM(I462)</f>
        <v>322124</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50000</v>
      </c>
      <c r="H647" s="104">
        <f>L409</f>
        <v>50000</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157278</v>
      </c>
      <c r="H648" s="104">
        <f>L209+L227+L245</f>
        <v>157278</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10577</v>
      </c>
      <c r="H649" s="104">
        <f>(J258+J339)-(J256+J337)</f>
        <v>10577</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59856</v>
      </c>
      <c r="H650" s="104">
        <f>H599</f>
        <v>59856</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44165</v>
      </c>
      <c r="H651" s="104">
        <f>I599</f>
        <v>44165</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53257</v>
      </c>
      <c r="H652" s="104">
        <f>J599</f>
        <v>53257</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9000</v>
      </c>
      <c r="H653" s="104">
        <f>K264+K346</f>
        <v>9000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915145</v>
      </c>
      <c r="G661" s="19">
        <f>(L230+L310+L360)</f>
        <v>781342</v>
      </c>
      <c r="H661" s="19">
        <f>(L248+L329+L361)</f>
        <v>909220</v>
      </c>
      <c r="I661" s="19">
        <f>SUM(F661:H661)</f>
        <v>2605707</v>
      </c>
      <c r="J661" s="13"/>
      <c r="K661" s="13"/>
      <c r="L661" s="13"/>
      <c r="M661" s="9"/>
    </row>
    <row r="662" spans="1:13" s="3" customFormat="1" ht="12.2" customHeight="1" x14ac:dyDescent="0.2">
      <c r="A662" s="1" t="s">
        <v>127</v>
      </c>
      <c r="F662" s="19">
        <f>(L359/IF(SUM(L359:L361)=0,1,SUM(L359:L361))*(SUM(G97:G110)))</f>
        <v>5051</v>
      </c>
      <c r="G662" s="19">
        <f>(L360/IF(SUM(L359:L361)=0,1,SUM(L359:L361))*(SUM(G97:G110)))</f>
        <v>0</v>
      </c>
      <c r="H662" s="19">
        <f>(L361/IF(SUM(L359:L361)=0,1,SUM(L359:L361))*(SUM(G97:G110)))</f>
        <v>0</v>
      </c>
      <c r="I662" s="19">
        <f>SUM(F662:H662)</f>
        <v>5051</v>
      </c>
      <c r="J662"/>
      <c r="K662" s="13"/>
      <c r="L662" s="13"/>
      <c r="M662" s="8"/>
    </row>
    <row r="663" spans="1:13" s="3" customFormat="1" ht="12.2" customHeight="1" x14ac:dyDescent="0.2">
      <c r="A663" s="1" t="s">
        <v>128</v>
      </c>
      <c r="F663" s="19">
        <f>(L209+L288)-(J209+J288)</f>
        <v>59856</v>
      </c>
      <c r="G663" s="19">
        <f>(L227+L307)-(J227+J307)</f>
        <v>44165</v>
      </c>
      <c r="H663" s="19">
        <f>(L245+L326)-(J245+J326)</f>
        <v>53257</v>
      </c>
      <c r="I663" s="19">
        <f>SUM(F663:H663)</f>
        <v>157278</v>
      </c>
      <c r="J663"/>
      <c r="K663" s="13"/>
      <c r="L663" s="13"/>
      <c r="M663" s="9"/>
    </row>
    <row r="664" spans="1:13" s="3" customFormat="1" ht="12.2" customHeight="1" x14ac:dyDescent="0.15">
      <c r="A664" s="198" t="s">
        <v>129</v>
      </c>
      <c r="B664" s="169"/>
      <c r="C664" s="169"/>
      <c r="D664" s="169"/>
      <c r="E664" s="169"/>
      <c r="F664" s="199">
        <f>SUM(F576:F588)+SUM(H603:H605)+SUM(L612)</f>
        <v>30611</v>
      </c>
      <c r="G664" s="199">
        <f>SUM(G576:G588)+SUM(I603:I605)+L613</f>
        <v>689141</v>
      </c>
      <c r="H664" s="199">
        <f>SUM(H576:H588)+SUM(J603:J605)+L614</f>
        <v>798039</v>
      </c>
      <c r="I664" s="19">
        <f>SUM(F664:H664)</f>
        <v>1517791</v>
      </c>
      <c r="J664" s="13"/>
      <c r="K664" s="13"/>
      <c r="L664" s="13"/>
      <c r="M664" s="9"/>
    </row>
    <row r="665" spans="1:13" s="3" customFormat="1" ht="12.2" customHeight="1" x14ac:dyDescent="0.15">
      <c r="A665" s="1" t="s">
        <v>130</v>
      </c>
      <c r="F665" s="19">
        <f>F661-SUM(F662:F664)</f>
        <v>819627</v>
      </c>
      <c r="G665" s="19">
        <f>G661-SUM(G662:G664)</f>
        <v>48036</v>
      </c>
      <c r="H665" s="19">
        <f>H661-SUM(H662:H664)</f>
        <v>57924</v>
      </c>
      <c r="I665" s="19">
        <f>I661-SUM(I662:I664)</f>
        <v>925587</v>
      </c>
      <c r="J665" s="13"/>
      <c r="K665" s="13"/>
      <c r="L665" s="13"/>
      <c r="M665" s="8"/>
    </row>
    <row r="666" spans="1:13" s="3" customFormat="1" ht="12.2" customHeight="1" x14ac:dyDescent="0.2">
      <c r="A666" s="1" t="s">
        <v>131</v>
      </c>
      <c r="F666" s="246">
        <v>45.75</v>
      </c>
      <c r="G666" s="247"/>
      <c r="H666" s="247"/>
      <c r="I666" s="19">
        <f>SUM(F666:H666)</f>
        <v>45.75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17915.34</v>
      </c>
      <c r="G668" s="19" t="e">
        <f>ROUND(G665/G666,2)</f>
        <v>#DIV/0!</v>
      </c>
      <c r="H668" s="19" t="e">
        <f>ROUND(H665/H666,2)</f>
        <v>#DIV/0!</v>
      </c>
      <c r="I668" s="19">
        <f>ROUND(I665/I666,2)</f>
        <v>20231.41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-48036</v>
      </c>
      <c r="H670" s="18">
        <v>-57924</v>
      </c>
      <c r="I670" s="19">
        <f>SUM(F670:H670)</f>
        <v>-105960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17915.34</v>
      </c>
      <c r="G673" s="19" t="e">
        <f>ROUND((G665+G670)/(G666+G671),2)</f>
        <v>#DIV/0!</v>
      </c>
      <c r="H673" s="19" t="e">
        <f>ROUND((H665+H670)/(H666+H671),2)</f>
        <v>#DIV/0!</v>
      </c>
      <c r="I673" s="19">
        <f>ROUND((I665+I670)/(I666+I671),2)</f>
        <v>17915.34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WASHINGTON</v>
      </c>
      <c r="C5" s="344"/>
      <c r="D5" s="344"/>
      <c r="E5" s="344"/>
      <c r="F5" s="344"/>
    </row>
    <row r="8" spans="1:9" ht="18" x14ac:dyDescent="0.25">
      <c r="A8" s="323" t="s">
        <v>1591</v>
      </c>
      <c r="F8" s="330" t="s">
        <v>1609</v>
      </c>
    </row>
    <row r="9" spans="1:9" ht="15" x14ac:dyDescent="0.2">
      <c r="A9" s="321" t="s">
        <v>1592</v>
      </c>
      <c r="B9" s="324">
        <f>'DOE25'!G97</f>
        <v>5051</v>
      </c>
      <c r="F9" s="321" t="s">
        <v>1605</v>
      </c>
    </row>
    <row r="10" spans="1:9" ht="15" x14ac:dyDescent="0.2">
      <c r="A10" s="321" t="s">
        <v>1593</v>
      </c>
      <c r="B10" s="324">
        <f>'DOE25'!G112-'DOE25'!G97</f>
        <v>0</v>
      </c>
      <c r="F10" s="321" t="s">
        <v>1606</v>
      </c>
    </row>
    <row r="11" spans="1:9" ht="15" x14ac:dyDescent="0.2">
      <c r="A11" s="321" t="s">
        <v>1594</v>
      </c>
      <c r="B11" s="324">
        <f>'DOE25'!G140</f>
        <v>312</v>
      </c>
      <c r="F11" s="321" t="s">
        <v>1607</v>
      </c>
    </row>
    <row r="12" spans="1:9" ht="15" x14ac:dyDescent="0.2">
      <c r="A12" s="321" t="s">
        <v>1595</v>
      </c>
      <c r="B12" s="324">
        <f>'DOE25'!G170</f>
        <v>12378</v>
      </c>
      <c r="F12" s="321" t="s">
        <v>1608</v>
      </c>
    </row>
    <row r="13" spans="1:9" ht="15" x14ac:dyDescent="0.2">
      <c r="A13" s="321" t="s">
        <v>1596</v>
      </c>
      <c r="B13" s="324">
        <f>'DOE25'!G193-'DOE25'!G180</f>
        <v>0</v>
      </c>
      <c r="F13" s="321" t="s">
        <v>1618</v>
      </c>
    </row>
    <row r="14" spans="1:9" ht="18" x14ac:dyDescent="0.25">
      <c r="A14" s="323" t="s">
        <v>732</v>
      </c>
      <c r="B14" s="325">
        <f>SUM(B9:B13)</f>
        <v>17741</v>
      </c>
    </row>
    <row r="16" spans="1:9" ht="18" x14ac:dyDescent="0.25">
      <c r="A16" s="323" t="s">
        <v>786</v>
      </c>
      <c r="F16" s="330" t="s">
        <v>1610</v>
      </c>
    </row>
    <row r="17" spans="1:6" ht="15" x14ac:dyDescent="0.2">
      <c r="A17" s="321" t="s">
        <v>1597</v>
      </c>
      <c r="B17" s="324">
        <f>'DOE25'!L363-'DOE25'!L362</f>
        <v>32999</v>
      </c>
      <c r="F17" s="321" t="s">
        <v>1611</v>
      </c>
    </row>
    <row r="18" spans="1:6" ht="15" x14ac:dyDescent="0.2">
      <c r="A18" s="321" t="s">
        <v>1598</v>
      </c>
      <c r="B18" s="338"/>
      <c r="F18" s="330" t="s">
        <v>1637</v>
      </c>
    </row>
    <row r="19" spans="1:6" ht="18" x14ac:dyDescent="0.25">
      <c r="A19" s="323" t="s">
        <v>725</v>
      </c>
      <c r="B19" s="325">
        <f>SUM(B17:B18)</f>
        <v>32999</v>
      </c>
    </row>
    <row r="21" spans="1:6" ht="18.75" thickBot="1" x14ac:dyDescent="0.3">
      <c r="A21" s="323" t="s">
        <v>1599</v>
      </c>
    </row>
    <row r="22" spans="1:6" ht="18.75" thickTop="1" x14ac:dyDescent="0.25">
      <c r="A22" s="323" t="s">
        <v>1600</v>
      </c>
      <c r="B22" s="329">
        <f>B14-B19</f>
        <v>-15258</v>
      </c>
      <c r="F22" s="321" t="s">
        <v>1612</v>
      </c>
    </row>
    <row r="26" spans="1:6" ht="18" x14ac:dyDescent="0.25">
      <c r="A26" s="323" t="s">
        <v>186</v>
      </c>
    </row>
    <row r="27" spans="1:6" ht="15" x14ac:dyDescent="0.2">
      <c r="A27" s="321" t="s">
        <v>1601</v>
      </c>
      <c r="B27" s="324">
        <f>'DOE25'!G180</f>
        <v>9000</v>
      </c>
      <c r="F27" s="321" t="s">
        <v>1613</v>
      </c>
    </row>
    <row r="28" spans="1:6" ht="15" x14ac:dyDescent="0.2">
      <c r="A28" s="321" t="s">
        <v>1603</v>
      </c>
      <c r="B28" s="324">
        <f>'DOE25'!L362</f>
        <v>0</v>
      </c>
      <c r="F28" s="321" t="s">
        <v>1614</v>
      </c>
    </row>
    <row r="31" spans="1:6" ht="15" x14ac:dyDescent="0.2">
      <c r="A31" s="321" t="s">
        <v>1640</v>
      </c>
      <c r="B31" s="324">
        <f>'DOE25'!G466</f>
        <v>3796</v>
      </c>
      <c r="F31" s="321" t="s">
        <v>1615</v>
      </c>
    </row>
    <row r="33" spans="1:6" ht="15" x14ac:dyDescent="0.2">
      <c r="A33" s="321" t="s">
        <v>1641</v>
      </c>
      <c r="B33" s="324">
        <f>'DOE25'!G477</f>
        <v>-2462</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25" zoomScaleNormal="125" workbookViewId="0">
      <selection activeCell="B29" sqref="B29:C3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WASHINGTON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287820</v>
      </c>
      <c r="C9" s="229">
        <f>'DOE25'!G198+'DOE25'!G216+'DOE25'!G234+'DOE25'!G277+'DOE25'!G296+'DOE25'!G315</f>
        <v>109793</v>
      </c>
    </row>
    <row r="10" spans="1:3" x14ac:dyDescent="0.2">
      <c r="A10" t="s">
        <v>775</v>
      </c>
      <c r="B10" s="240">
        <f>238525+12882-499</f>
        <v>250908</v>
      </c>
      <c r="C10" s="240">
        <f>105604+1492-127</f>
        <v>106969</v>
      </c>
    </row>
    <row r="11" spans="1:3" x14ac:dyDescent="0.2">
      <c r="A11" t="s">
        <v>776</v>
      </c>
      <c r="B11" s="240">
        <v>33462</v>
      </c>
      <c r="C11" s="240">
        <v>2560</v>
      </c>
    </row>
    <row r="12" spans="1:3" x14ac:dyDescent="0.2">
      <c r="A12" t="s">
        <v>777</v>
      </c>
      <c r="B12" s="240">
        <v>3450</v>
      </c>
      <c r="C12" s="240">
        <v>264</v>
      </c>
    </row>
    <row r="13" spans="1:3" x14ac:dyDescent="0.2">
      <c r="A13" t="str">
        <f>IF(B9=B13,IF(C9=C13,"Check Total OK","Check Total Error"),"Check Total Error")</f>
        <v>Check Total OK</v>
      </c>
      <c r="B13" s="231">
        <f>SUM(B10:B12)</f>
        <v>287820</v>
      </c>
      <c r="C13" s="231">
        <f>SUM(C10:C12)</f>
        <v>109793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23735</v>
      </c>
      <c r="C18" s="229">
        <f>'DOE25'!G199+'DOE25'!G217+'DOE25'!G235+'DOE25'!G278+'DOE25'!G297+'DOE25'!G316</f>
        <v>10188</v>
      </c>
    </row>
    <row r="19" spans="1:3" x14ac:dyDescent="0.2">
      <c r="A19" t="s">
        <v>775</v>
      </c>
      <c r="B19" s="240">
        <f>23235+500</f>
        <v>23735</v>
      </c>
      <c r="C19" s="240">
        <f>10059+129</f>
        <v>10188</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23735</v>
      </c>
      <c r="C22" s="231">
        <f>SUM(C19:C21)</f>
        <v>10188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5" sqref="E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WASHINGTON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1934673</v>
      </c>
      <c r="D5" s="20">
        <f>SUM('DOE25'!L198:L201)+SUM('DOE25'!L216:L219)+SUM('DOE25'!L234:L237)-F5-G5-H5</f>
        <v>1933568</v>
      </c>
      <c r="E5" s="243"/>
      <c r="F5" s="244"/>
      <c r="G5" s="53">
        <f>SUM('DOE25'!J198:J201)+SUM('DOE25'!J216:J219)+SUM('DOE25'!J234:J237)</f>
        <v>0</v>
      </c>
      <c r="H5" s="53">
        <f>SUM('DOE25'!K198:K201)+SUM('DOE25'!K216:K219)+SUM('DOE25'!K234:K237)</f>
        <v>1105</v>
      </c>
      <c r="I5" s="256"/>
    </row>
    <row r="6" spans="1:9" x14ac:dyDescent="0.2">
      <c r="A6" s="32">
        <v>2100</v>
      </c>
      <c r="B6" t="s">
        <v>796</v>
      </c>
      <c r="C6" s="276">
        <f t="shared" si="0"/>
        <v>26985</v>
      </c>
      <c r="D6" s="20">
        <f>'DOE25'!L203+'DOE25'!L221+'DOE25'!L239-F6-G6-H6</f>
        <v>26985</v>
      </c>
      <c r="E6" s="243"/>
      <c r="F6" s="244"/>
      <c r="G6" s="53">
        <f>'DOE25'!J203+'DOE25'!J221+'DOE25'!J239</f>
        <v>0</v>
      </c>
      <c r="H6" s="53">
        <f>'DOE25'!K203+'DOE25'!K221+'DOE25'!K239</f>
        <v>0</v>
      </c>
      <c r="I6" s="256"/>
    </row>
    <row r="7" spans="1:9" x14ac:dyDescent="0.2">
      <c r="A7" s="32">
        <v>2200</v>
      </c>
      <c r="B7" t="s">
        <v>821</v>
      </c>
      <c r="C7" s="276">
        <f t="shared" si="0"/>
        <v>6199</v>
      </c>
      <c r="D7" s="20">
        <f>'DOE25'!L204+'DOE25'!L222+'DOE25'!L240-F7-G7-H7</f>
        <v>4859</v>
      </c>
      <c r="E7" s="243"/>
      <c r="F7" s="244"/>
      <c r="G7" s="53">
        <f>'DOE25'!J204+'DOE25'!J222+'DOE25'!J240</f>
        <v>1340</v>
      </c>
      <c r="H7" s="53">
        <f>'DOE25'!K204+'DOE25'!K222+'DOE25'!K240</f>
        <v>0</v>
      </c>
      <c r="I7" s="256"/>
    </row>
    <row r="8" spans="1:9" x14ac:dyDescent="0.2">
      <c r="A8" s="32">
        <v>2300</v>
      </c>
      <c r="B8" t="s">
        <v>797</v>
      </c>
      <c r="C8" s="276">
        <f t="shared" si="0"/>
        <v>131566</v>
      </c>
      <c r="D8" s="243"/>
      <c r="E8" s="20">
        <f>'DOE25'!L205+'DOE25'!L223+'DOE25'!L241-F8-G8-H8-D9-D11</f>
        <v>128311</v>
      </c>
      <c r="F8" s="244"/>
      <c r="G8" s="53">
        <f>'DOE25'!J205+'DOE25'!J223+'DOE25'!J241</f>
        <v>0</v>
      </c>
      <c r="H8" s="53">
        <f>'DOE25'!K205+'DOE25'!K223+'DOE25'!K241</f>
        <v>3255</v>
      </c>
      <c r="I8" s="256"/>
    </row>
    <row r="9" spans="1:9" ht="14.25" x14ac:dyDescent="0.2">
      <c r="A9" s="32">
        <v>2310</v>
      </c>
      <c r="B9" s="185" t="s">
        <v>890</v>
      </c>
      <c r="C9" s="276">
        <f t="shared" si="0"/>
        <v>7504</v>
      </c>
      <c r="D9" s="244">
        <v>7504</v>
      </c>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46962</v>
      </c>
      <c r="D11" s="244">
        <v>46962</v>
      </c>
      <c r="E11" s="243"/>
      <c r="F11" s="253"/>
      <c r="G11" s="253"/>
      <c r="H11" s="253"/>
      <c r="I11" s="256"/>
    </row>
    <row r="12" spans="1:9" x14ac:dyDescent="0.2">
      <c r="A12" s="32">
        <v>2400</v>
      </c>
      <c r="B12" t="s">
        <v>711</v>
      </c>
      <c r="C12" s="276">
        <f t="shared" si="0"/>
        <v>78552</v>
      </c>
      <c r="D12" s="20">
        <f>'DOE25'!L206+'DOE25'!L224+'DOE25'!L242-F12-G12-H12</f>
        <v>78552</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122583</v>
      </c>
      <c r="D14" s="20">
        <f>'DOE25'!L208+'DOE25'!L226+'DOE25'!L244-F14-G14-H14</f>
        <v>113346</v>
      </c>
      <c r="E14" s="243"/>
      <c r="F14" s="244"/>
      <c r="G14" s="53">
        <f>'DOE25'!J208+'DOE25'!J226+'DOE25'!J244</f>
        <v>9237</v>
      </c>
      <c r="H14" s="53">
        <f>'DOE25'!K208+'DOE25'!K226+'DOE25'!K244</f>
        <v>0</v>
      </c>
      <c r="I14" s="256"/>
    </row>
    <row r="15" spans="1:9" x14ac:dyDescent="0.2">
      <c r="A15" s="32">
        <v>2700</v>
      </c>
      <c r="B15" t="s">
        <v>799</v>
      </c>
      <c r="C15" s="276">
        <f t="shared" si="0"/>
        <v>157278</v>
      </c>
      <c r="D15" s="20">
        <f>'DOE25'!L209+'DOE25'!L227+'DOE25'!L245-F15-G15-H15</f>
        <v>0</v>
      </c>
      <c r="E15" s="243"/>
      <c r="F15" s="244">
        <v>157278</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24087</v>
      </c>
      <c r="D29" s="284">
        <f>'DOE25'!L359+'DOE25'!L360+'DOE25'!L361-'DOE25'!I368-F29-G29-H29</f>
        <v>19792</v>
      </c>
      <c r="E29" s="243"/>
      <c r="F29" s="244"/>
      <c r="G29" s="53">
        <f>'DOE25'!J359+'DOE25'!J360+'DOE25'!J361</f>
        <v>4295</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60406</v>
      </c>
      <c r="D31" s="20">
        <f>'DOE25'!L291+'DOE25'!L310+'DOE25'!L329+'DOE25'!L334+'DOE25'!L335+'DOE25'!L336-F31-G31-H31</f>
        <v>57010</v>
      </c>
      <c r="E31" s="243"/>
      <c r="F31" s="244"/>
      <c r="G31" s="53">
        <f>'DOE25'!J291+'DOE25'!J310+'DOE25'!J329+'DOE25'!J334+'DOE25'!J335+'DOE25'!J336</f>
        <v>0</v>
      </c>
      <c r="H31" s="53">
        <f>'DOE25'!K291+'DOE25'!K310+'DOE25'!K329+'DOE25'!K334+'DOE25'!K335+'DOE25'!K336</f>
        <v>3396</v>
      </c>
      <c r="I31" s="256"/>
    </row>
    <row r="32" spans="1:9" ht="12" thickBot="1" x14ac:dyDescent="0.25">
      <c r="C32" s="277"/>
      <c r="G32" s="251"/>
      <c r="H32" s="251"/>
      <c r="I32" s="258"/>
    </row>
    <row r="33" spans="1:9" ht="12" thickTop="1" x14ac:dyDescent="0.2">
      <c r="B33" t="s">
        <v>809</v>
      </c>
      <c r="D33" s="245">
        <f t="shared" ref="D33:I33" si="1">SUM(D5:D31)</f>
        <v>2288578</v>
      </c>
      <c r="E33" s="245">
        <f t="shared" si="1"/>
        <v>128311</v>
      </c>
      <c r="F33" s="245">
        <f t="shared" si="1"/>
        <v>157278</v>
      </c>
      <c r="G33" s="245">
        <f t="shared" si="1"/>
        <v>14872</v>
      </c>
      <c r="H33" s="245">
        <f t="shared" si="1"/>
        <v>7756</v>
      </c>
      <c r="I33" s="245">
        <f t="shared" si="1"/>
        <v>0</v>
      </c>
    </row>
    <row r="35" spans="1:9" ht="12" thickBot="1" x14ac:dyDescent="0.25">
      <c r="B35" s="251" t="s">
        <v>831</v>
      </c>
      <c r="D35" s="252">
        <f>E33</f>
        <v>128311</v>
      </c>
      <c r="E35" s="248"/>
    </row>
    <row r="36" spans="1:9" ht="12" thickTop="1" x14ac:dyDescent="0.2">
      <c r="B36" t="s">
        <v>810</v>
      </c>
      <c r="D36" s="20">
        <f>D33</f>
        <v>2288578</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24" sqref="F2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WASHINGTON</v>
      </c>
      <c r="B2" s="126">
        <f>'DOE25'!B2</f>
        <v>0</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882146</v>
      </c>
      <c r="G4" s="303">
        <f>'DOE25'!L212+'DOE25'!L291</f>
        <v>882146</v>
      </c>
      <c r="H4" s="337">
        <f>F4-G4</f>
        <v>0</v>
      </c>
      <c r="I4" s="309" t="str">
        <f>IF(H4=0,"","Does not match DOE25 page 7 and 11 Totals!!")</f>
        <v/>
      </c>
      <c r="N4"/>
    </row>
    <row r="5" spans="1:18" x14ac:dyDescent="0.2">
      <c r="A5" s="21" t="s">
        <v>1464</v>
      </c>
      <c r="B5" s="304">
        <f>IFERROR(VLOOKUP(A5,'School Tables'!$C$3:$D$365,2,FALSE),"")</f>
        <v>20985</v>
      </c>
      <c r="C5" s="297" t="str">
        <f>IFERROR(INDEX('School Tables'!$B$3:$B$365,MATCH('School Level Expenditures'!B5,'School Tables'!$D$3:$D$365,0)),"")</f>
        <v>Washington</v>
      </c>
      <c r="D5" s="294">
        <v>862112</v>
      </c>
      <c r="E5" s="294"/>
      <c r="F5" s="312">
        <f>D5+E5</f>
        <v>862112</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20034</v>
      </c>
      <c r="E6" s="294"/>
      <c r="F6" s="307">
        <f t="shared" ref="F6:F20" si="0">D6+E6</f>
        <v>20034</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781342</v>
      </c>
      <c r="G24" s="303">
        <f>'DOE25'!L230+'DOE25'!L310</f>
        <v>781342</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781342</v>
      </c>
      <c r="E25" s="294"/>
      <c r="F25" s="307">
        <f>D25+E25</f>
        <v>781342</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909220</v>
      </c>
      <c r="G36" s="303">
        <f>'DOE25'!L248+'DOE25'!L329</f>
        <v>909220</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909220</v>
      </c>
      <c r="E37" s="294"/>
      <c r="F37" s="307">
        <f>D37+E37</f>
        <v>909220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0"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WASHINGTON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327304</v>
      </c>
      <c r="D8" s="95">
        <f>'DOE25'!G9</f>
        <v>0</v>
      </c>
      <c r="E8" s="95">
        <f>'DOE25'!H9</f>
        <v>0</v>
      </c>
      <c r="F8" s="95">
        <f>'DOE25'!I9</f>
        <v>0</v>
      </c>
      <c r="G8" s="95">
        <f>'DOE25'!J9</f>
        <v>322124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7095</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t="e">
        <f>'DOE25'!#REF!</f>
        <v>#REF!</v>
      </c>
      <c r="F12" s="95">
        <f>'DOE25'!I13</f>
        <v>0</v>
      </c>
      <c r="G12" s="95">
        <f>'DOE25'!J13</f>
        <v>0</v>
      </c>
      <c r="H12" s="124"/>
      <c r="I12" s="124"/>
    </row>
    <row r="13" spans="1:9" x14ac:dyDescent="0.2">
      <c r="A13" s="1" t="s">
        <v>144</v>
      </c>
      <c r="B13" s="6">
        <v>150</v>
      </c>
      <c r="C13" s="95">
        <f>'DOE25'!F14</f>
        <v>9633</v>
      </c>
      <c r="D13" s="95">
        <f>'DOE25'!G14</f>
        <v>0</v>
      </c>
      <c r="E13" s="95">
        <f>'DOE25'!H13</f>
        <v>3771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344032</v>
      </c>
      <c r="D18" s="41">
        <f>SUM(D8:D17)</f>
        <v>0</v>
      </c>
      <c r="E18" s="41" t="e">
        <f>SUM(E8:E17)</f>
        <v>#REF!</v>
      </c>
      <c r="F18" s="41">
        <f>SUM(F8:F17)</f>
        <v>0</v>
      </c>
      <c r="G18" s="41">
        <f>SUM(G8:G17)</f>
        <v>322124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2462</v>
      </c>
      <c r="E21" s="95">
        <f>'DOE25'!H22</f>
        <v>2240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2462</v>
      </c>
      <c r="E31" s="41">
        <f>SUM(E21:E30)</f>
        <v>2240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-2462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60614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9000</v>
      </c>
      <c r="D47" s="95">
        <f>'DOE25'!G48</f>
        <v>0</v>
      </c>
      <c r="E47" s="95">
        <f>'DOE25'!H48</f>
        <v>1531</v>
      </c>
      <c r="F47" s="95">
        <f>'DOE25'!I48</f>
        <v>0</v>
      </c>
      <c r="G47" s="95">
        <f>'DOE25'!J48</f>
        <v>322124</v>
      </c>
      <c r="H47" s="124"/>
      <c r="I47" s="124"/>
    </row>
    <row r="48" spans="1:9" x14ac:dyDescent="0.2">
      <c r="A48" s="1" t="s">
        <v>882</v>
      </c>
      <c r="B48" s="6">
        <v>753</v>
      </c>
      <c r="C48" s="95">
        <f>'DOE25'!F49</f>
        <v>671</v>
      </c>
      <c r="D48" s="95">
        <f>'DOE25'!G49</f>
        <v>0</v>
      </c>
      <c r="E48" s="95">
        <f>'DOE25'!H49</f>
        <v>0</v>
      </c>
      <c r="F48" s="95">
        <f>'DOE25'!I49</f>
        <v>0</v>
      </c>
      <c r="G48" s="95">
        <f>'DOE25'!J49</f>
        <v>0</v>
      </c>
      <c r="H48" s="124"/>
      <c r="I48" s="124"/>
    </row>
    <row r="49" spans="1:9" ht="12" thickBot="1" x14ac:dyDescent="0.25">
      <c r="A49" s="29" t="s">
        <v>883</v>
      </c>
      <c r="B49" s="71">
        <v>770</v>
      </c>
      <c r="C49" s="95">
        <f>'DOE25'!F50</f>
        <v>223747</v>
      </c>
      <c r="D49" s="24" t="s">
        <v>288</v>
      </c>
      <c r="E49" s="24" t="s">
        <v>288</v>
      </c>
      <c r="F49" s="24" t="s">
        <v>288</v>
      </c>
      <c r="G49" s="24" t="s">
        <v>288</v>
      </c>
      <c r="H49" s="124"/>
      <c r="I49" s="124"/>
    </row>
    <row r="50" spans="1:9" ht="12.75" thickTop="1" thickBot="1" x14ac:dyDescent="0.25">
      <c r="A50" s="38" t="s">
        <v>884</v>
      </c>
      <c r="B50" s="48"/>
      <c r="C50" s="41">
        <f>SUM(C34:C49)</f>
        <v>344032</v>
      </c>
      <c r="D50" s="41">
        <f>SUM(D34:D49)</f>
        <v>-2462</v>
      </c>
      <c r="E50" s="41">
        <f>SUM(E34:E49)</f>
        <v>1531</v>
      </c>
      <c r="F50" s="41">
        <f>SUM(F34:F49)</f>
        <v>0</v>
      </c>
      <c r="G50" s="41">
        <f>SUM(G34:G49)</f>
        <v>322124</v>
      </c>
      <c r="H50" s="124"/>
      <c r="I50" s="124"/>
    </row>
    <row r="51" spans="1:9" ht="12" thickTop="1" x14ac:dyDescent="0.2">
      <c r="A51" s="38" t="s">
        <v>885</v>
      </c>
      <c r="B51" s="2"/>
      <c r="C51" s="41">
        <f>C50+C31</f>
        <v>344032</v>
      </c>
      <c r="D51" s="41">
        <f>D50+D31</f>
        <v>0</v>
      </c>
      <c r="E51" s="41">
        <f>E50+E31</f>
        <v>3771</v>
      </c>
      <c r="F51" s="41">
        <f>F50+F31</f>
        <v>0</v>
      </c>
      <c r="G51" s="41">
        <f>G50+G31</f>
        <v>322124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2110760</v>
      </c>
      <c r="D56" s="95">
        <f>'DOE25'!G60</f>
        <v>0</v>
      </c>
      <c r="E56" s="95">
        <f>'DOE25'!H60</f>
        <v>0</v>
      </c>
      <c r="F56" s="95">
        <f>'DOE25'!I60</f>
        <v>0</v>
      </c>
      <c r="G56" s="95">
        <f>'DOE25'!J60</f>
        <v>0</v>
      </c>
      <c r="H56"/>
      <c r="I56"/>
    </row>
    <row r="57" spans="1:9" x14ac:dyDescent="0.2">
      <c r="A57" s="1" t="s">
        <v>164</v>
      </c>
      <c r="B57" s="6" t="s">
        <v>165</v>
      </c>
      <c r="C57" s="95">
        <f>'DOE25'!F79</f>
        <v>20535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5051</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20535</v>
      </c>
      <c r="D62" s="130">
        <f>SUM(D57:D61)</f>
        <v>5051</v>
      </c>
      <c r="E62" s="130">
        <f>SUM(E57:E61)</f>
        <v>0</v>
      </c>
      <c r="F62" s="130">
        <f>SUM(F57:F61)</f>
        <v>0</v>
      </c>
      <c r="G62" s="130">
        <f>SUM(G57:G61)</f>
        <v>0</v>
      </c>
      <c r="H62"/>
      <c r="I62"/>
    </row>
    <row r="63" spans="1:9" ht="12" thickTop="1" x14ac:dyDescent="0.2">
      <c r="A63" s="29" t="s">
        <v>175</v>
      </c>
      <c r="B63" s="6"/>
      <c r="C63" s="22">
        <f>C56+C62</f>
        <v>2131295</v>
      </c>
      <c r="D63" s="22">
        <f>D56+D62</f>
        <v>5051</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31765</v>
      </c>
      <c r="D66" s="24" t="s">
        <v>288</v>
      </c>
      <c r="E66" s="24" t="s">
        <v>288</v>
      </c>
      <c r="F66" s="24" t="s">
        <v>288</v>
      </c>
      <c r="G66" s="24" t="s">
        <v>288</v>
      </c>
      <c r="H66"/>
      <c r="I66"/>
    </row>
    <row r="67" spans="1:9" x14ac:dyDescent="0.2">
      <c r="A67" s="1" t="s">
        <v>770</v>
      </c>
      <c r="B67" s="6">
        <v>3112</v>
      </c>
      <c r="C67" s="95">
        <f>'DOE25'!F118</f>
        <v>483895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515660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30097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312</v>
      </c>
      <c r="E77" s="95">
        <f>SUM('DOE25'!H131:H135)</f>
        <v>0</v>
      </c>
      <c r="F77" s="95">
        <f>SUM('DOE25'!I131:I135)</f>
        <v>0</v>
      </c>
      <c r="G77" s="95">
        <f>SUM('DOE25'!J131:J135)</f>
        <v>0</v>
      </c>
      <c r="H77"/>
      <c r="I77"/>
    </row>
    <row r="78" spans="1:9" ht="12.75" thickTop="1" thickBot="1" x14ac:dyDescent="0.25">
      <c r="A78" s="29" t="s">
        <v>259</v>
      </c>
      <c r="B78" s="6"/>
      <c r="C78" s="130">
        <f>SUM(C72:C77)</f>
        <v>30097</v>
      </c>
      <c r="D78" s="130">
        <f>SUM(D72:D77)</f>
        <v>312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545757</v>
      </c>
      <c r="D81" s="130">
        <f>SUM(D79:D80)+D78+D70</f>
        <v>312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2598</v>
      </c>
      <c r="F87" s="95">
        <f>SUM('DOE25'!I149:I152)</f>
        <v>0</v>
      </c>
      <c r="G87" s="24" t="s">
        <v>288</v>
      </c>
    </row>
    <row r="88" spans="1:9" x14ac:dyDescent="0.2">
      <c r="A88" s="291" t="s">
        <v>747</v>
      </c>
      <c r="B88" s="340" t="s">
        <v>184</v>
      </c>
      <c r="C88" s="341">
        <f>SUM('DOE25'!F153:F162)</f>
        <v>2020</v>
      </c>
      <c r="D88" s="341">
        <f>SUM('DOE25'!G153:G162)</f>
        <v>12378</v>
      </c>
      <c r="E88" s="341">
        <f>SUM('DOE25'!H153:H162)</f>
        <v>55244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2020</v>
      </c>
      <c r="D91" s="131">
        <f>SUM(D85:D90)</f>
        <v>12378</v>
      </c>
      <c r="E91" s="131">
        <f>SUM(E85:E90)</f>
        <v>57842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167</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9000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167</v>
      </c>
      <c r="D103" s="86">
        <f>SUM(D93:D102)</f>
        <v>9000</v>
      </c>
      <c r="E103" s="86">
        <f>SUM(E93:E102)</f>
        <v>0</v>
      </c>
      <c r="F103" s="86">
        <f>SUM(F93:F102)</f>
        <v>0</v>
      </c>
      <c r="G103" s="86">
        <f>SUM(G93:G102)</f>
        <v>50000</v>
      </c>
    </row>
    <row r="104" spans="1:7" ht="12.75" thickTop="1" thickBot="1" x14ac:dyDescent="0.25">
      <c r="A104" s="33" t="s">
        <v>761</v>
      </c>
      <c r="C104" s="86">
        <f>C63+C81+C91+C103</f>
        <v>2679239</v>
      </c>
      <c r="D104" s="86">
        <f>D63+D81+D91+D103</f>
        <v>26741</v>
      </c>
      <c r="E104" s="86">
        <f>E63+E81+E91+E103</f>
        <v>57842</v>
      </c>
      <c r="F104" s="86">
        <f>F63+F81+F91+F103</f>
        <v>0</v>
      </c>
      <c r="G104" s="86">
        <f>G63+G81+G103</f>
        <v>50000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1901219</v>
      </c>
      <c r="D109" s="24" t="s">
        <v>288</v>
      </c>
      <c r="E109" s="95">
        <f>('DOE25'!L277)+('DOE25'!L296)+('DOE25'!L315)</f>
        <v>39095</v>
      </c>
      <c r="F109" s="24" t="s">
        <v>288</v>
      </c>
      <c r="G109" s="24" t="s">
        <v>288</v>
      </c>
    </row>
    <row r="110" spans="1:7" x14ac:dyDescent="0.2">
      <c r="A110" t="s">
        <v>198</v>
      </c>
      <c r="B110" s="32" t="s">
        <v>199</v>
      </c>
      <c r="C110" s="95">
        <f>('DOE25'!L199)+('DOE25'!L217)+('DOE25'!L235)</f>
        <v>33454</v>
      </c>
      <c r="D110" s="24" t="s">
        <v>288</v>
      </c>
      <c r="E110" s="95">
        <f>('DOE25'!L278)+('DOE25'!L297)+('DOE25'!L316)</f>
        <v>21311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1934673</v>
      </c>
      <c r="D115" s="86">
        <f>SUM(D109:D114)</f>
        <v>0</v>
      </c>
      <c r="E115" s="86">
        <f>SUM(E109:E114)</f>
        <v>60406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26985</v>
      </c>
      <c r="D118" s="24" t="s">
        <v>288</v>
      </c>
      <c r="E118" s="95">
        <f>+('DOE25'!L282)+('DOE25'!L301)+('DOE25'!L320)</f>
        <v>0</v>
      </c>
      <c r="F118" s="24" t="s">
        <v>288</v>
      </c>
      <c r="G118" s="24" t="s">
        <v>288</v>
      </c>
    </row>
    <row r="119" spans="1:7" x14ac:dyDescent="0.2">
      <c r="A119" t="s">
        <v>208</v>
      </c>
      <c r="B119" s="32" t="s">
        <v>209</v>
      </c>
      <c r="C119" s="95">
        <f>('DOE25'!L204)+('DOE25'!L222)+('DOE25'!L240)</f>
        <v>6199</v>
      </c>
      <c r="D119" s="24" t="s">
        <v>288</v>
      </c>
      <c r="E119" s="95">
        <f>+('DOE25'!L283)+('DOE25'!L302)+('DOE25'!L321)</f>
        <v>0</v>
      </c>
      <c r="F119" s="24" t="s">
        <v>288</v>
      </c>
      <c r="G119" s="24" t="s">
        <v>288</v>
      </c>
    </row>
    <row r="120" spans="1:7" x14ac:dyDescent="0.2">
      <c r="A120" t="s">
        <v>210</v>
      </c>
      <c r="B120" s="32" t="s">
        <v>211</v>
      </c>
      <c r="C120" s="95">
        <f>('DOE25'!L205)+('DOE25'!L223)+('DOE25'!L241)</f>
        <v>186032</v>
      </c>
      <c r="D120" s="24" t="s">
        <v>288</v>
      </c>
      <c r="E120" s="95">
        <f>+('DOE25'!L284)+('DOE25'!L303)+('DOE25'!L322)</f>
        <v>0</v>
      </c>
      <c r="F120" s="24" t="s">
        <v>288</v>
      </c>
      <c r="G120" s="24" t="s">
        <v>288</v>
      </c>
    </row>
    <row r="121" spans="1:7" x14ac:dyDescent="0.2">
      <c r="A121" t="s">
        <v>212</v>
      </c>
      <c r="B121" s="32" t="s">
        <v>213</v>
      </c>
      <c r="C121" s="95">
        <f>('DOE25'!L206)+('DOE25'!L224)+('DOE25'!L242)</f>
        <v>78552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122583</v>
      </c>
      <c r="D123" s="24" t="s">
        <v>288</v>
      </c>
      <c r="E123" s="95">
        <f>+('DOE25'!L287)+('DOE25'!L306)+('DOE25'!L325)</f>
        <v>0</v>
      </c>
      <c r="F123" s="24" t="s">
        <v>288</v>
      </c>
      <c r="G123" s="24" t="s">
        <v>288</v>
      </c>
    </row>
    <row r="124" spans="1:7" x14ac:dyDescent="0.2">
      <c r="A124" t="s">
        <v>218</v>
      </c>
      <c r="B124" s="32" t="s">
        <v>219</v>
      </c>
      <c r="C124" s="95">
        <f>('DOE25'!L209)+('DOE25'!L227)+('DOE25'!L245+'DOE25'!L255)</f>
        <v>157278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32999</v>
      </c>
      <c r="E127" s="24" t="s">
        <v>288</v>
      </c>
      <c r="F127" s="24" t="s">
        <v>288</v>
      </c>
      <c r="G127" s="24" t="s">
        <v>288</v>
      </c>
    </row>
    <row r="128" spans="1:7" ht="12.75" thickTop="1" thickBot="1" x14ac:dyDescent="0.25">
      <c r="A128" s="33" t="s">
        <v>226</v>
      </c>
      <c r="C128" s="86">
        <f>SUM(C118:C127)</f>
        <v>577629</v>
      </c>
      <c r="D128" s="86">
        <f>SUM(D118:D127)</f>
        <v>32999</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9000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59000</v>
      </c>
      <c r="D144" s="141">
        <f>SUM(D130:D143)</f>
        <v>0</v>
      </c>
      <c r="E144" s="141">
        <f>SUM(E130:E143)</f>
        <v>0</v>
      </c>
      <c r="F144" s="141">
        <f>SUM(F130:F143)</f>
        <v>0</v>
      </c>
      <c r="G144" s="141">
        <f>SUM(G130:G143)</f>
        <v>0</v>
      </c>
    </row>
    <row r="145" spans="1:9" ht="12.75" thickTop="1" thickBot="1" x14ac:dyDescent="0.25">
      <c r="A145" s="33" t="s">
        <v>244</v>
      </c>
      <c r="C145" s="86">
        <f>(C115+C128+C144)</f>
        <v>2571302</v>
      </c>
      <c r="D145" s="86">
        <f>(D115+D128+D144)</f>
        <v>32999</v>
      </c>
      <c r="E145" s="86">
        <f>(E115+E128+E144)</f>
        <v>60406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WASHINGTON</v>
      </c>
    </row>
    <row r="3" spans="1:4" x14ac:dyDescent="0.2">
      <c r="B3" s="188" t="s">
        <v>1587</v>
      </c>
    </row>
    <row r="4" spans="1:4" x14ac:dyDescent="0.2">
      <c r="B4" t="s">
        <v>61</v>
      </c>
      <c r="C4" s="179">
        <f>IF('DOE25'!F666+'DOE25'!F671=0,0,ROUND('DOE25'!F673,0))</f>
        <v>17915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17915</v>
      </c>
    </row>
    <row r="9" spans="1:4" x14ac:dyDescent="0.2">
      <c r="A9" s="187" t="s">
        <v>94</v>
      </c>
      <c r="B9" s="188" t="s">
        <v>1588</v>
      </c>
      <c r="C9" s="181" t="s">
        <v>720</v>
      </c>
      <c r="D9" s="181" t="s">
        <v>721</v>
      </c>
    </row>
    <row r="10" spans="1:4" x14ac:dyDescent="0.2">
      <c r="A10">
        <v>1100</v>
      </c>
      <c r="B10" t="s">
        <v>702</v>
      </c>
      <c r="C10" s="179">
        <f>ROUND('DOE25'!L198+'DOE25'!L216+'DOE25'!L234+'DOE25'!L277+'DOE25'!L296+'DOE25'!L315,0)</f>
        <v>1940314</v>
      </c>
      <c r="D10" s="182">
        <f>ROUND((C10/$C$28)*100,1)</f>
        <v>74.599999999999994</v>
      </c>
    </row>
    <row r="11" spans="1:4" x14ac:dyDescent="0.2">
      <c r="A11">
        <v>1200</v>
      </c>
      <c r="B11" t="s">
        <v>703</v>
      </c>
      <c r="C11" s="179">
        <f>ROUND('DOE25'!L199+'DOE25'!L217+'DOE25'!L235+'DOE25'!L278+'DOE25'!L297+'DOE25'!L316,0)</f>
        <v>54765</v>
      </c>
      <c r="D11" s="182">
        <f>ROUND((C11/$C$28)*100,1)</f>
        <v>2.1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26985</v>
      </c>
      <c r="D15" s="182">
        <f t="shared" ref="D15:D27" si="0">ROUND((C15/$C$28)*100,1)</f>
        <v>1</v>
      </c>
    </row>
    <row r="16" spans="1:4" x14ac:dyDescent="0.2">
      <c r="A16">
        <v>2200</v>
      </c>
      <c r="B16" t="s">
        <v>707</v>
      </c>
      <c r="C16" s="179">
        <f>ROUND('DOE25'!L204+'DOE25'!L222+'DOE25'!L240+'DOE25'!L283+'DOE25'!L302+'DOE25'!L321,0)</f>
        <v>6199</v>
      </c>
      <c r="D16" s="182">
        <f t="shared" si="0"/>
        <v>0.2</v>
      </c>
    </row>
    <row r="17" spans="1:4" x14ac:dyDescent="0.2">
      <c r="A17" s="183" t="s">
        <v>723</v>
      </c>
      <c r="B17" t="s">
        <v>738</v>
      </c>
      <c r="C17" s="179">
        <f>ROUND('DOE25'!L205+'DOE25'!L210+'DOE25'!L223+'DOE25'!L228+'DOE25'!L241+'DOE25'!L246+'DOE25'!L284+'DOE25'!L289+'DOE25'!L303+'DOE25'!L308+'DOE25'!L322+'DOE25'!L327,0)</f>
        <v>186032</v>
      </c>
      <c r="D17" s="182">
        <f t="shared" si="0"/>
        <v>7.2</v>
      </c>
    </row>
    <row r="18" spans="1:4" x14ac:dyDescent="0.2">
      <c r="A18">
        <v>2400</v>
      </c>
      <c r="B18" t="s">
        <v>711</v>
      </c>
      <c r="C18" s="179">
        <f>ROUND('DOE25'!L206+'DOE25'!L224+'DOE25'!L242+'DOE25'!L285+'DOE25'!L304+'DOE25'!L323,0)</f>
        <v>78552</v>
      </c>
      <c r="D18" s="182">
        <f t="shared" si="0"/>
        <v>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122583</v>
      </c>
      <c r="D20" s="182">
        <f t="shared" si="0"/>
        <v>4.7</v>
      </c>
    </row>
    <row r="21" spans="1:4" x14ac:dyDescent="0.2">
      <c r="A21">
        <v>2700</v>
      </c>
      <c r="B21" t="s">
        <v>710</v>
      </c>
      <c r="C21" s="179">
        <f>ROUND('DOE25'!L209+'DOE25'!L227+'DOE25'!L245+'DOE25'!L288+'DOE25'!L307+'DOE25'!L326,0)</f>
        <v>157278</v>
      </c>
      <c r="D21" s="182">
        <f t="shared" si="0"/>
        <v>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27948</v>
      </c>
      <c r="D27" s="182">
        <f t="shared" si="0"/>
        <v>1.1000000000000001</v>
      </c>
    </row>
    <row r="28" spans="1:4" x14ac:dyDescent="0.2">
      <c r="B28" s="187" t="s">
        <v>719</v>
      </c>
      <c r="C28" s="180">
        <f>SUM(C10:C27)</f>
        <v>2600656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2600656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2110760</v>
      </c>
      <c r="D35" s="182">
        <f t="shared" ref="D35:D40" si="1">ROUND((C35/$C$41)*100,1)</f>
        <v>76.8</v>
      </c>
    </row>
    <row r="36" spans="1:4" x14ac:dyDescent="0.2">
      <c r="B36" s="185" t="s">
        <v>739</v>
      </c>
      <c r="C36" s="179">
        <f>SUM('DOE25'!F112:J112)-SUM('DOE25'!G97:G110)+('DOE25'!F175+'DOE25'!F176+'DOE25'!I175+'DOE25'!I176)-C35</f>
        <v>20702</v>
      </c>
      <c r="D36" s="182">
        <f t="shared" si="1"/>
        <v>0.8</v>
      </c>
    </row>
    <row r="37" spans="1:4" x14ac:dyDescent="0.2">
      <c r="A37" s="183" t="s">
        <v>835</v>
      </c>
      <c r="B37" s="185" t="s">
        <v>728</v>
      </c>
      <c r="C37" s="179">
        <f>ROUND('DOE25'!F117+'DOE25'!F118,0)</f>
        <v>515660</v>
      </c>
      <c r="D37" s="182">
        <f t="shared" si="1"/>
        <v>18.8</v>
      </c>
    </row>
    <row r="38" spans="1:4" x14ac:dyDescent="0.2">
      <c r="A38" s="183" t="s">
        <v>734</v>
      </c>
      <c r="B38" s="185" t="s">
        <v>729</v>
      </c>
      <c r="C38" s="179">
        <f>ROUND(SUM('DOE25'!F140:J140)-SUM('DOE25'!F117:F119),0)</f>
        <v>30409</v>
      </c>
      <c r="D38" s="182">
        <f t="shared" si="1"/>
        <v>1.1000000000000001</v>
      </c>
    </row>
    <row r="39" spans="1:4" x14ac:dyDescent="0.2">
      <c r="A39">
        <v>4000</v>
      </c>
      <c r="B39" s="185" t="s">
        <v>730</v>
      </c>
      <c r="C39" s="179">
        <f>ROUND('DOE25'!F170+'DOE25'!G170+'DOE25'!H170+'DOE25'!I170,0)</f>
        <v>72240</v>
      </c>
      <c r="D39" s="182">
        <f t="shared" si="1"/>
        <v>2.6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2749771</v>
      </c>
      <c r="D41" s="184">
        <f>SUM(D35:D40)</f>
        <v>100.09999999999998</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WASHINGTON</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2020-11-20T16:50:46Z</cp:lastPrinted>
  <dcterms:created xsi:type="dcterms:W3CDTF">1997-12-04T19:04:30Z</dcterms:created>
  <dcterms:modified xsi:type="dcterms:W3CDTF">2020-11-20T16:50:56Z</dcterms:modified>
</cp:coreProperties>
</file>