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C125" i="2" s="1"/>
  <c r="L228" i="1"/>
  <c r="L246" i="1"/>
  <c r="G5" i="13"/>
  <c r="H5" i="13"/>
  <c r="L198" i="1"/>
  <c r="L199" i="1"/>
  <c r="L200" i="1"/>
  <c r="C12" i="10" s="1"/>
  <c r="L201" i="1"/>
  <c r="L216" i="1"/>
  <c r="L217" i="1"/>
  <c r="L218" i="1"/>
  <c r="L219" i="1"/>
  <c r="L234" i="1"/>
  <c r="L235" i="1"/>
  <c r="L236" i="1"/>
  <c r="L237" i="1"/>
  <c r="G6" i="13"/>
  <c r="H6" i="13"/>
  <c r="L203" i="1"/>
  <c r="L221" i="1"/>
  <c r="L239" i="1"/>
  <c r="G7" i="13"/>
  <c r="H7" i="13"/>
  <c r="L204" i="1"/>
  <c r="C119" i="2" s="1"/>
  <c r="L222" i="1"/>
  <c r="L240" i="1"/>
  <c r="G12" i="13"/>
  <c r="H12" i="13"/>
  <c r="L206" i="1"/>
  <c r="L224" i="1"/>
  <c r="L242" i="1"/>
  <c r="C121" i="2" s="1"/>
  <c r="G14" i="13"/>
  <c r="H14" i="13"/>
  <c r="L208" i="1"/>
  <c r="L226" i="1"/>
  <c r="C20" i="10" s="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2" i="1" s="1"/>
  <c r="C139" i="2" s="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1"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E119" i="2"/>
  <c r="E121" i="2"/>
  <c r="E123"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F258" i="1" s="1"/>
  <c r="G212" i="1"/>
  <c r="H212" i="1"/>
  <c r="I212" i="1"/>
  <c r="J212" i="1"/>
  <c r="J258" i="1" s="1"/>
  <c r="K212" i="1"/>
  <c r="F230" i="1"/>
  <c r="G230" i="1"/>
  <c r="H230" i="1"/>
  <c r="I230" i="1"/>
  <c r="J230" i="1"/>
  <c r="K230" i="1"/>
  <c r="F248" i="1"/>
  <c r="G248" i="1"/>
  <c r="H248" i="1"/>
  <c r="I248" i="1"/>
  <c r="J248" i="1"/>
  <c r="K248" i="1"/>
  <c r="F257" i="1"/>
  <c r="G257" i="1"/>
  <c r="H257" i="1"/>
  <c r="I257" i="1"/>
  <c r="L257" i="1" s="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G653" i="1"/>
  <c r="H653" i="1"/>
  <c r="G654" i="1"/>
  <c r="H654" i="1"/>
  <c r="G655" i="1"/>
  <c r="H655" i="1"/>
  <c r="H656" i="1"/>
  <c r="J656" i="1" s="1"/>
  <c r="A40" i="12"/>
  <c r="J572" i="1"/>
  <c r="I170" i="1"/>
  <c r="J140" i="1"/>
  <c r="H140" i="1"/>
  <c r="H477" i="1" l="1"/>
  <c r="H625" i="1" s="1"/>
  <c r="G662" i="1"/>
  <c r="K339" i="1"/>
  <c r="K353" i="1" s="1"/>
  <c r="C13" i="10"/>
  <c r="C110" i="2"/>
  <c r="D18" i="13"/>
  <c r="C18" i="13" s="1"/>
  <c r="D15" i="13"/>
  <c r="C15" i="13" s="1"/>
  <c r="D6" i="13"/>
  <c r="C6" i="13" s="1"/>
  <c r="E13" i="13"/>
  <c r="C13" i="13" s="1"/>
  <c r="C91" i="2"/>
  <c r="D50" i="2"/>
  <c r="F339" i="1"/>
  <c r="F353" i="1" s="1"/>
  <c r="J642" i="1"/>
  <c r="L561" i="1"/>
  <c r="J625" i="1"/>
  <c r="G462" i="1"/>
  <c r="H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J644" i="1"/>
  <c r="J646" i="1"/>
  <c r="F112" i="1"/>
  <c r="L394" i="1"/>
  <c r="C138" i="2" s="1"/>
  <c r="L363" i="1"/>
  <c r="B17" i="16" s="1"/>
  <c r="B19" i="16" s="1"/>
  <c r="B28" i="16"/>
  <c r="L329" i="1"/>
  <c r="E122" i="2"/>
  <c r="E128" i="2" s="1"/>
  <c r="L291" i="1"/>
  <c r="H624" i="1"/>
  <c r="J624" i="1" s="1"/>
  <c r="B33" i="16"/>
  <c r="L615" i="1"/>
  <c r="K599" i="1"/>
  <c r="G648" i="1" s="1"/>
  <c r="K572" i="1"/>
  <c r="L571" i="1"/>
  <c r="H572" i="1"/>
  <c r="L566" i="1"/>
  <c r="L572" i="1" s="1"/>
  <c r="I572" i="1"/>
  <c r="K546" i="1"/>
  <c r="H52" i="1"/>
  <c r="H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H665" i="1" s="1"/>
  <c r="H668" i="1" s="1"/>
  <c r="G36" i="14"/>
  <c r="H36" i="14" s="1"/>
  <c r="I36" i="14"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J620" i="1"/>
  <c r="D103" i="2"/>
  <c r="I140" i="1"/>
  <c r="A22" i="12"/>
  <c r="G50" i="2"/>
  <c r="J653" i="1"/>
  <c r="G572" i="1"/>
  <c r="I435" i="1"/>
  <c r="G435" i="1"/>
  <c r="I664" i="1"/>
  <c r="F194" i="1" l="1"/>
  <c r="G628" i="1" s="1"/>
  <c r="J628" i="1" s="1"/>
  <c r="H649" i="1"/>
  <c r="F661" i="1"/>
  <c r="F665" i="1" s="1"/>
  <c r="F668" i="1" s="1"/>
  <c r="E145" i="2"/>
  <c r="D51" i="2"/>
  <c r="C81"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<sst xmlns="http://schemas.openxmlformats.org/spreadsheetml/2006/main" count="5543" uniqueCount="1643">
  <si>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</si>
  <si>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</si>
  <si>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</si>
  <si>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</si>
  <si>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</si>
  <si>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</si>
  <si>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</si>
  <si>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</si>
  <si>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</si>
  <si>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</si>
  <si>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</si>
  <si>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</si>
  <si>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</si>
  <si>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</si>
  <si>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</si>
  <si>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</si>
  <si>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</si>
  <si>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</si>
  <si>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</si>
  <si>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</si>
  <si>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</si>
  <si>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</si>
  <si>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</si>
  <si>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</si>
  <si>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</si>
  <si>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</si>
  <si>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</si>
  <si>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</si>
  <si>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</si>
  <si>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</si>
  <si>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</si>
  <si>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</si>
  <si>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</si>
  <si>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</si>
  <si>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</si>
  <si>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</si>
  <si>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</si>
  <si>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</si>
  <si>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</si>
  <si>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</si>
  <si>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</si>
  <si>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</si>
  <si>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</si>
  <si>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</si>
  <si>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</si>
  <si>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</si>
  <si>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</si>
  <si>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</si>
  <si>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</si>
  <si>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</si>
  <si>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</si>
  <si>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</si>
  <si>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</si>
  <si>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</si>
  <si>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</si>
  <si>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</si>
  <si>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</si>
  <si>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</si>
  <si>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</si>
  <si>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</si>
  <si>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</si>
  <si>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</si>
  <si>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</si>
  <si>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</si>
  <si>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</si>
  <si>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</si>
  <si>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</si>
  <si>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</si>
  <si>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</si>
  <si>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</si>
  <si>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</si>
  <si>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</si>
  <si>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</si>
  <si>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</si>
  <si>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</si>
  <si>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</si>
  <si>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</si>
  <si>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</si>
  <si>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</si>
  <si>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</si>
  <si>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</si>
  <si>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</si>
  <si>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</si>
  <si>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</si>
  <si>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</si>
  <si>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</si>
  <si>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</si>
  <si>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</si>
  <si>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</si>
  <si>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</si>
  <si>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</si>
  <si>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</si>
  <si>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</si>
  <si>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</si>
  <si>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</si>
  <si>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</si>
  <si>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</si>
  <si>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</si>
  <si>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</si>
  <si>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</si>
  <si>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</si>
  <si>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</si>
  <si>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</si>
  <si>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</si>
  <si>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</si>
  <si>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</si>
  <si>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</si>
  <si>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</si>
  <si>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</si>
  <si>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</si>
  <si>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</si>
  <si>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</si>
  <si>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</si>
  <si>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</si>
  <si>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</si>
  <si>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</si>
  <si>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</si>
  <si>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</si>
  <si>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</si>
  <si>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</si>
  <si>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</si>
  <si>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</si>
  <si>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</si>
  <si>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</si>
  <si>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</si>
  <si>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</si>
  <si>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</si>
  <si>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</si>
  <si>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</si>
  <si>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</si>
  <si>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</si>
  <si>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</si>
  <si>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</si>
  <si>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</si>
  <si>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</si>
  <si>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</si>
  <si>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</si>
  <si>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</si>
  <si>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</si>
  <si>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</si>
  <si>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</si>
  <si>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</si>
  <si>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</si>
  <si>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</si>
  <si>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</si>
  <si>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</si>
  <si>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</si>
  <si>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</si>
  <si>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</si>
  <si>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</si>
  <si>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</si>
  <si>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</si>
  <si>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</si>
  <si>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</si>
  <si>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</si>
  <si>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</si>
  <si>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</si>
  <si>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</si>
  <si>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</si>
  <si>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</si>
  <si>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</si>
  <si>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</si>
  <si>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</si>
  <si>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</si>
  <si>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</si>
  <si>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</si>
  <si>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</si>
  <si>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</si>
  <si>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</si>
  <si>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</si>
  <si>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</si>
  <si>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</si>
  <si>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</si>
  <si>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</si>
  <si>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</si>
  <si>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</si>
  <si>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</si>
  <si>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</si>
  <si>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</si>
  <si>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</si>
  <si>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</si>
  <si>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</si>
  <si>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</si>
  <si>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</si>
  <si>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</si>
  <si>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</si>
  <si>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</si>
  <si>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</si>
  <si>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</si>
  <si>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</si>
  <si>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</si>
  <si>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</si>
  <si>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</si>
  <si>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</si>
  <si>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</si>
  <si>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</si>
  <si>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</si>
  <si>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</si>
  <si>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</si>
  <si>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</si>
  <si>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</si>
  <si>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</si>
  <si>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</si>
  <si>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</si>
  <si>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</si>
  <si>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</si>
  <si>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</si>
  <si>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</si>
  <si>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</si>
  <si>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</si>
  <si>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</si>
  <si>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</si>
  <si>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</si>
  <si>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</si>
  <si>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</si>
  <si>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</si>
  <si>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</si>
  <si>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</si>
  <si>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</si>
  <si>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</si>
  <si>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</si>
  <si>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</si>
  <si>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</si>
  <si>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</si>
  <si>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</si>
  <si>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</si>
  <si>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</si>
  <si>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</si>
  <si>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</si>
  <si>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</si>
  <si>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</si>
  <si>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</si>
  <si>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</si>
  <si>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</si>
  <si>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</si>
  <si>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</si>
  <si>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</si>
  <si>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</si>
  <si>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</si>
  <si>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</si>
  <si>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</si>
  <si>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</si>
  <si>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</si>
  <si>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</si>
  <si>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</si>
  <si>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</si>
  <si>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</si>
  <si>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</si>
  <si>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</si>
  <si>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</si>
  <si>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</si>
  <si>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</si>
  <si>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</si>
  <si>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</si>
  <si>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</si>
  <si>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</si>
  <si>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</si>
  <si>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</si>
  <si>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</si>
  <si>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</si>
  <si>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</si>
  <si>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</si>
  <si>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</si>
  <si>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</si>
  <si>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</si>
  <si>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</si>
  <si>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</si>
  <si>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</si>
  <si>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</si>
  <si>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</si>
  <si>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</si>
  <si>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</si>
  <si>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</si>
  <si>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</si>
  <si>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</si>
  <si>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</si>
  <si>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</si>
  <si>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</si>
  <si>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</si>
  <si>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</si>
  <si>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</si>
  <si>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</si>
  <si>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</si>
  <si>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</si>
  <si>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</si>
  <si>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</si>
  <si>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</si>
  <si>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</si>
  <si>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</si>
  <si>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</si>
  <si>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</si>
  <si>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</si>
  <si>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</si>
  <si>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</si>
  <si>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</si>
  <si>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</si>
  <si>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</si>
  <si>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</si>
  <si>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</si>
  <si>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</si>
  <si>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</si>
  <si>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</si>
  <si>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</si>
  <si>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</si>
  <si>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</si>
  <si>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</si>
  <si>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</si>
  <si>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</si>
  <si>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</si>
  <si>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</si>
  <si>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</si>
  <si>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</si>
  <si>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</si>
  <si>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</si>
  <si>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</si>
  <si>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</si>
  <si>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</si>
  <si>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</si>
  <si>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</si>
  <si>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</si>
  <si>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</si>
  <si>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</si>
  <si>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</si>
  <si>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</si>
  <si>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</si>
  <si>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</si>
  <si>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</si>
  <si>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</si>
  <si>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</si>
  <si>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</si>
  <si>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</si>
  <si>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</si>
  <si>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</si>
  <si>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</si>
  <si>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</si>
  <si>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</si>
  <si>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</si>
  <si>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</si>
  <si>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</si>
  <si>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</si>
  <si>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</si>
  <si>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</si>
  <si>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</si>
  <si>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</si>
  <si>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</si>
  <si>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</si>
  <si>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</si>
  <si>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</si>
  <si>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</si>
  <si>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</si>
  <si>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</si>
  <si>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</si>
  <si>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</si>
  <si>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</si>
  <si>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</si>
  <si>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</si>
  <si>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</si>
  <si>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</si>
  <si>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</si>
  <si>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</si>
  <si>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</si>
  <si>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</si>
  <si>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</si>
  <si>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</si>
  <si>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</si>
  <si>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</si>
  <si>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</si>
  <si>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</si>
  <si>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</si>
  <si>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</si>
  <si>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</si>
  <si>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</si>
  <si>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</si>
  <si>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</si>
  <si>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</si>
  <si>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</si>
  <si>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</si>
  <si>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</si>
  <si>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</si>
  <si>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</si>
  <si>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</si>
  <si>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</si>
  <si>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</si>
  <si>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</si>
  <si>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</si>
  <si>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</si>
  <si>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</si>
  <si>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</si>
  <si>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</si>
  <si>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</si>
  <si>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</si>
  <si>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</si>
  <si>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</si>
  <si>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</si>
  <si>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</si>
  <si>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</si>
  <si>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</si>
  <si>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</si>
  <si>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</si>
  <si>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</si>
  <si>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</si>
  <si>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</si>
  <si>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</si>
  <si>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</si>
  <si>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</si>
  <si>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</si>
  <si>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</si>
  <si>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</si>
  <si>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</si>
  <si>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</si>
  <si>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</si>
  <si>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</si>
  <si>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</si>
  <si>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</si>
  <si>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</si>
  <si>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</si>
  <si>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</si>
  <si>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</si>
  <si>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</si>
  <si>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</si>
  <si>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</si>
  <si>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</si>
  <si>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</si>
  <si>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</si>
  <si>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</si>
  <si>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</si>
  <si>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</si>
  <si>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</si>
  <si>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</si>
  <si>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</si>
  <si>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</si>
  <si>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</si>
  <si>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</si>
  <si>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</si>
  <si>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</si>
  <si>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</si>
  <si>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</si>
  <si>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</si>
  <si>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</si>
  <si>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</si>
  <si>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</si>
  <si>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</si>
  <si>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</si>
  <si>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</si>
  <si>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</si>
  <si>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</si>
  <si>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</si>
  <si>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</si>
  <si>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</si>
  <si>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</si>
  <si>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</si>
  <si>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</si>
  <si>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</si>
  <si>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</si>
  <si>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</si>
  <si>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</si>
  <si>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</si>
  <si>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</si>
  <si>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</si>
  <si>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</si>
  <si>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</si>
  <si>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</si>
  <si>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</si>
  <si>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</si>
  <si>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</si>
  <si>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</si>
  <si>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</si>
  <si>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</si>
  <si>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</si>
  <si>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</si>
  <si>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</si>
  <si>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</si>
  <si>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</si>
  <si>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</si>
  <si>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</si>
  <si>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</si>
  <si>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</si>
  <si>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</si>
  <si>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</si>
  <si>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</si>
  <si>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</si>
  <si>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</si>
  <si>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</si>
  <si>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</si>
  <si>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</si>
  <si>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</si>
  <si>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</si>
  <si>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</si>
  <si>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</si>
  <si>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</si>
  <si>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</si>
  <si>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</si>
  <si>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</si>
  <si>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</si>
  <si>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</si>
  <si>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</si>
  <si>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</si>
  <si>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</si>
  <si>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</si>
  <si>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</si>
  <si>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</si>
  <si>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</si>
  <si>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</si>
  <si>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</si>
  <si>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</si>
  <si>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</si>
  <si>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</si>
  <si>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</si>
  <si>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</si>
  <si>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</si>
  <si>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</si>
  <si>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</si>
  <si>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</si>
  <si>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</si>
  <si>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</si>
  <si>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</si>
  <si>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</si>
  <si>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</si>
  <si>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</si>
  <si>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</si>
  <si>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</si>
  <si>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</si>
  <si>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</si>
  <si>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</si>
  <si>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</si>
  <si>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</si>
  <si>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</si>
  <si>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</si>
  <si>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</si>
  <si>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</si>
  <si>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</si>
  <si>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</si>
  <si>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</si>
  <si>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</si>
  <si>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</si>
  <si>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</si>
  <si>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</si>
  <si>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</si>
  <si>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</si>
  <si>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</si>
  <si>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</si>
  <si>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</si>
  <si>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</si>
  <si>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</si>
  <si>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</si>
  <si>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</si>
  <si>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</si>
  <si>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</si>
  <si>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</si>
  <si>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</si>
  <si>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</si>
  <si>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</si>
  <si>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</si>
  <si>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</si>
  <si>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</si>
  <si>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</si>
  <si>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</si>
  <si>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</si>
  <si>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</si>
  <si>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</si>
  <si>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</si>
  <si>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</si>
  <si>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</si>
  <si>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</si>
  <si>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</si>
  <si>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</si>
  <si>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</si>
  <si>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</si>
  <si>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</si>
  <si>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</si>
  <si>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</si>
  <si>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</si>
  <si>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</si>
  <si>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</si>
  <si>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</si>
  <si>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</si>
  <si>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</si>
  <si>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</si>
  <si>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</si>
  <si>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</si>
  <si>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</si>
  <si>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</si>
  <si>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</si>
  <si>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</si>
  <si>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</si>
  <si>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</si>
  <si>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</si>
  <si>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</si>
  <si>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</si>
  <si>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</si>
  <si>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</si>
  <si>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</si>
  <si>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</si>
  <si>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</si>
  <si>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</si>
  <si>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</si>
  <si>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</si>
  <si>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</si>
  <si>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</si>
  <si>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</si>
  <si>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</si>
  <si>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</si>
  <si>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</si>
  <si>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</si>
  <si>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</si>
  <si>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</si>
  <si>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</si>
  <si>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</si>
  <si>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</si>
  <si>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</si>
  <si>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</si>
  <si>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</si>
  <si>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</si>
  <si>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</si>
  <si>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</si>
  <si>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</si>
  <si>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</si>
  <si>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</si>
  <si>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</si>
  <si>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</si>
  <si>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</si>
  <si>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</si>
  <si>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</si>
  <si>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</si>
  <si>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</si>
  <si>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</si>
  <si>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</si>
  <si>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</si>
  <si>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</si>
  <si>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</si>
  <si>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</si>
  <si>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</si>
  <si>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</si>
  <si>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</si>
  <si>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</si>
  <si>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</si>
  <si>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</si>
  <si>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</si>
  <si>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</si>
  <si>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</si>
  <si>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</si>
  <si>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</si>
  <si>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</si>
  <si>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</si>
  <si>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</si>
  <si>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</si>
  <si>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</si>
  <si>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</si>
  <si>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</si>
  <si>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</si>
  <si>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</si>
  <si>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</si>
  <si>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</si>
  <si>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</si>
  <si>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</si>
  <si>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</si>
  <si>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</si>
  <si>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</si>
  <si>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</si>
  <si>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</si>
  <si>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</si>
  <si>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</si>
  <si>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</si>
  <si>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</si>
  <si>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</si>
  <si>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</si>
  <si>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</si>
  <si>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</si>
  <si>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</si>
  <si>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</si>
  <si>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</si>
  <si>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</si>
  <si>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</si>
  <si>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</si>
  <si>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</si>
  <si>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</si>
  <si>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</si>
  <si>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</si>
  <si>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</si>
  <si>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</si>
  <si>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</si>
  <si>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</si>
  <si>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</si>
  <si>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</si>
  <si>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</si>
  <si>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</si>
  <si>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</si>
  <si>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</si>
  <si>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</si>
  <si>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</si>
  <si>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</si>
  <si>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</si>
  <si>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</si>
  <si>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</si>
  <si>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</si>
  <si>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</si>
  <si>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</si>
  <si>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</si>
  <si>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</si>
  <si>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</si>
  <si>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</si>
  <si>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</si>
  <si>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</si>
  <si>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</si>
  <si>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</si>
  <si>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</si>
  <si>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</si>
  <si>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</si>
  <si>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</si>
  <si>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</si>
  <si>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</si>
  <si>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</si>
  <si>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</si>
  <si>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</si>
  <si>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</si>
  <si>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</si>
  <si>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</si>
  <si>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</si>
  <si>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</si>
  <si>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</si>
  <si>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</si>
  <si>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</si>
  <si>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</si>
  <si>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</si>
  <si>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</si>
  <si>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</si>
  <si>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</si>
  <si>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</si>
  <si>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</si>
  <si>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</si>
  <si>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</si>
  <si>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</si>
  <si>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</si>
  <si>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</si>
  <si>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</si>
  <si>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</si>
  <si>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</si>
  <si>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</si>
  <si>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</si>
  <si>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</si>
  <si>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</si>
  <si>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</si>
  <si>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</si>
  <si>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</si>
  <si>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</si>
  <si>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</si>
  <si>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</si>
  <si>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</si>
  <si>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</si>
  <si>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</si>
  <si>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</si>
  <si>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</si>
  <si>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</si>
  <si>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</si>
  <si>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</si>
  <si>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</si>
  <si>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</si>
  <si>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</si>
  <si>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</si>
  <si>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</si>
  <si>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</si>
  <si>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</si>
  <si>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</si>
  <si>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</si>
  <si>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</si>
  <si>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</si>
  <si>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</si>
  <si>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</si>
  <si>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</si>
  <si>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</si>
  <si>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</si>
  <si>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</si>
  <si>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</si>
  <si>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</si>
  <si>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</si>
  <si>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</si>
  <si>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</si>
  <si>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</si>
  <si>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</si>
  <si>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</si>
  <si>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</si>
  <si>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</si>
  <si>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</si>
  <si>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</si>
  <si>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</si>
  <si>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</si>
  <si>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</si>
  <si>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</si>
  <si>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</si>
  <si>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</si>
  <si>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</si>
  <si>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</si>
  <si>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</si>
  <si>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</si>
  <si>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</si>
  <si>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</si>
  <si>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</si>
  <si>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</si>
  <si>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</si>
  <si>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</si>
  <si>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</si>
  <si>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</si>
  <si>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</si>
  <si>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</si>
  <si>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</si>
  <si>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</si>
  <si>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</si>
  <si>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</si>
  <si>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</si>
  <si>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</si>
  <si>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</si>
  <si>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</si>
  <si>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</si>
  <si>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</si>
  <si>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</si>
  <si>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</si>
  <si>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</si>
  <si>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</si>
  <si>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</si>
  <si>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</si>
  <si>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</si>
  <si>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</si>
  <si>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</si>
  <si>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</si>
  <si>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</si>
  <si>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</si>
  <si>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</si>
  <si>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</si>
  <si>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</si>
  <si>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</si>
  <si>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</si>
  <si>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</si>
  <si>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</si>
  <si>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</si>
  <si>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</si>
  <si>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</si>
  <si>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</si>
  <si>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</si>
  <si>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</si>
  <si>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</si>
  <si>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</si>
  <si>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</si>
  <si>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</si>
  <si>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</si>
  <si>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</si>
  <si>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</si>
  <si>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</si>
  <si>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</si>
  <si>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</si>
  <si>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</si>
  <si>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</si>
  <si>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</si>
  <si>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</si>
  <si>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</si>
  <si>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</si>
  <si>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</si>
  <si>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</si>
  <si>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</si>
  <si>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</si>
  <si>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</si>
  <si>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</si>
  <si>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</si>
  <si>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</si>
  <si>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</si>
  <si>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</si>
  <si>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</si>
  <si>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</si>
  <si>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</si>
  <si>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</si>
  <si>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</si>
  <si>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</si>
  <si>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</si>
  <si>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</si>
  <si>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</si>
  <si>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</si>
  <si>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</si>
  <si>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</si>
  <si>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</si>
  <si>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</si>
  <si>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</si>
  <si>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</si>
  <si>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</si>
  <si>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</si>
  <si>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</si>
  <si>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</si>
  <si>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</si>
  <si>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</si>
  <si>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</si>
  <si>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</si>
  <si>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</si>
  <si>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</si>
  <si>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</si>
  <si>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</si>
  <si>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</si>
  <si>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</si>
  <si>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</si>
  <si>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</si>
  <si>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</si>
  <si>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</si>
  <si>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</si>
  <si>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</si>
  <si>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</si>
  <si>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</si>
  <si>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</si>
  <si>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</si>
  <si>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</si>
  <si>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</si>
  <si>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</si>
  <si>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</si>
  <si>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</si>
  <si>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</si>
  <si>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</si>
  <si>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</si>
  <si>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</si>
  <si>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</si>
  <si>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</si>
  <si>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</si>
  <si>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</si>
  <si>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</si>
  <si>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</si>
  <si>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</si>
  <si>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</si>
  <si>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</si>
  <si>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</si>
  <si>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</si>
  <si>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</si>
  <si>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</si>
  <si>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</si>
  <si>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</si>
  <si>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</si>
  <si>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</si>
  <si>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</si>
  <si>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</si>
  <si>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</si>
  <si>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</si>
  <si>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</si>
  <si>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</si>
  <si>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</si>
  <si>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</si>
  <si>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</si>
  <si>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</si>
  <si>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</si>
  <si>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</si>
  <si>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</si>
  <si>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</si>
  <si>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</si>
  <si>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</si>
  <si>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</si>
  <si>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</si>
  <si>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</si>
  <si>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</si>
  <si>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</si>
  <si>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</si>
  <si>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</si>
  <si>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</si>
  <si>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</si>
  <si>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</si>
  <si>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</si>
  <si>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</si>
  <si>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</si>
  <si>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</si>
  <si>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</si>
  <si>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</si>
  <si>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</si>
  <si>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</si>
  <si>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</si>
  <si>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</si>
  <si>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</si>
  <si>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</si>
  <si>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</si>
  <si>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</si>
  <si>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</si>
  <si>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</si>
  <si>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</si>
  <si>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</si>
  <si>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</si>
  <si>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</si>
  <si>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</si>
  <si>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</si>
  <si>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</si>
  <si>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</si>
  <si>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</si>
  <si>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</si>
  <si>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</si>
  <si>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</si>
  <si>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</si>
  <si>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</si>
  <si>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</si>
  <si>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</si>
  <si>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</si>
  <si>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</si>
  <si>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</si>
  <si>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</si>
  <si>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</si>
  <si>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</si>
  <si>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</si>
  <si>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</si>
  <si>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</si>
  <si>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</si>
  <si>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</si>
  <si>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</si>
  <si>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</si>
  <si>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</si>
  <si>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</si>
  <si>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</si>
  <si>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</si>
  <si>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</si>
  <si>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</si>
  <si>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</si>
  <si>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</si>
  <si>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</si>
  <si>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</si>
  <si>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</si>
  <si>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</si>
  <si>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</si>
  <si>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</si>
  <si>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</si>
  <si>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</si>
  <si>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</si>
  <si>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</si>
  <si>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</si>
  <si>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</si>
  <si>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</si>
  <si>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</si>
  <si>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</si>
  <si>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</si>
  <si>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</si>
  <si>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</si>
  <si>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</si>
  <si>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</si>
  <si>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</si>
  <si>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</si>
  <si>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</si>
  <si>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</si>
  <si>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</si>
  <si>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</si>
  <si>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</si>
  <si>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</si>
  <si>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</si>
  <si>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</si>
  <si>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</si>
  <si>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</si>
  <si>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</si>
  <si>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</si>
  <si>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</si>
  <si>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</si>
  <si>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</si>
  <si>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</si>
  <si>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</si>
  <si>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</si>
  <si>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</si>
  <si>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</si>
  <si>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</si>
  <si>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</si>
  <si>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</si>
  <si>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</si>
  <si>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</si>
  <si>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</si>
  <si>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</si>
  <si>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</si>
  <si>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</si>
  <si>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</si>
  <si>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</si>
  <si>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</si>
  <si>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</si>
  <si>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</si>
  <si>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</si>
  <si>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</si>
  <si>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</si>
  <si>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</si>
  <si>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</si>
  <si>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</si>
  <si>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</si>
  <si>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</si>
  <si>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</si>
  <si>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</si>
  <si>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</si>
  <si>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</si>
  <si>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</si>
  <si>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</si>
  <si>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</si>
  <si>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</si>
  <si>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</si>
  <si>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</si>
  <si>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</si>
  <si>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</si>
  <si>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</si>
  <si>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</si>
  <si>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</si>
  <si>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</si>
  <si>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</si>
  <si>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</si>
  <si>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</si>
  <si>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</si>
  <si>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</si>
  <si>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</si>
  <si>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</si>
  <si>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</si>
  <si>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</si>
  <si>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</si>
  <si>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</si>
  <si>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</si>
  <si>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</si>
  <si>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</si>
  <si>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</si>
  <si>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</si>
  <si>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</si>
  <si>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</si>
  <si>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</si>
  <si>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</si>
  <si>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</si>
  <si>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</si>
  <si>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</si>
  <si>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</si>
  <si>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</si>
  <si>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</si>
  <si>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</si>
  <si>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</si>
  <si>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</si>
  <si>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</si>
  <si>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</si>
  <si>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</si>
  <si>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</si>
  <si>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</si>
  <si>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</si>
  <si>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</si>
  <si>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</si>
  <si>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</si>
  <si>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</si>
  <si>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</si>
  <si>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</si>
  <si>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</si>
  <si>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</si>
  <si>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</si>
  <si>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</si>
  <si>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</si>
  <si>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</si>
  <si>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</si>
  <si>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</si>
  <si>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</si>
  <si>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</si>
  <si>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</si>
  <si>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</si>
  <si>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</si>
  <si>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</si>
  <si>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</si>
  <si>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</si>
  <si>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</si>
  <si>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</si>
  <si>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</si>
  <si>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</si>
  <si>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</si>
  <si>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</si>
  <si>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</si>
  <si>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</si>
  <si>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</si>
  <si>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</si>
  <si>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</si>
  <si>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</si>
  <si>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</si>
  <si>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</si>
  <si>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</si>
  <si>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</si>
  <si>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</si>
  <si>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</si>
  <si>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</si>
  <si>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</si>
  <si>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</si>
  <si>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</si>
  <si>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</si>
  <si>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</si>
  <si>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</si>
  <si>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</si>
  <si>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</si>
  <si>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</si>
  <si>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</si>
  <si>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</si>
  <si>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</si>
  <si>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</si>
  <si>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</si>
  <si>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</si>
  <si>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</si>
  <si>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</si>
  <si>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</si>
  <si>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</si>
  <si>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</si>
  <si>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</si>
  <si>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</si>
  <si>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</si>
  <si>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</si>
  <si>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</si>
  <si>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</si>
  <si>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</si>
  <si>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</si>
  <si>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</si>
  <si>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</si>
  <si>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</si>
  <si>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</si>
  <si>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</si>
  <si>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</si>
  <si>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</si>
  <si>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</si>
  <si>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</si>
  <si>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</si>
  <si>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</si>
  <si>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</si>
  <si>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</si>
  <si>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</si>
  <si>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</si>
  <si>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</si>
  <si>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</si>
  <si>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</si>
  <si>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</si>
  <si>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</si>
  <si>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</si>
  <si>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</si>
  <si>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</si>
  <si>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</si>
  <si>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</si>
  <si>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</si>
  <si>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</si>
  <si>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</si>
  <si>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</si>
  <si>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</si>
  <si>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</si>
  <si>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</si>
  <si>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</si>
  <si>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</si>
  <si>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</si>
  <si>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</si>
  <si>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</si>
  <si>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</si>
  <si>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</si>
  <si>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</si>
  <si>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</si>
  <si>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</si>
  <si>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</si>
  <si>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</si>
  <si>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</si>
  <si>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</si>
  <si>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</si>
  <si>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</si>
  <si>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</si>
  <si>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</si>
  <si>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</si>
  <si>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</si>
  <si>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</si>
  <si>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</si>
  <si>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</si>
  <si>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</si>
  <si>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</si>
  <si>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</si>
  <si>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</si>
  <si>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</si>
  <si>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</si>
  <si>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</si>
  <si>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</si>
  <si>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</si>
  <si>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</si>
  <si>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</si>
  <si>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</si>
  <si>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</si>
  <si>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</si>
  <si>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</si>
  <si>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</si>
  <si>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</si>
  <si>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</si>
  <si>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</si>
  <si>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</si>
  <si>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</si>
  <si>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</si>
  <si>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</si>
  <si>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</si>
  <si>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</si>
  <si>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</si>
  <si>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</si>
  <si>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</si>
  <si>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</si>
  <si>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</si>
  <si>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</si>
  <si>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</si>
  <si>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</si>
  <si>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</si>
  <si>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</si>
  <si>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</si>
  <si>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</si>
  <si>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</si>
  <si>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</si>
  <si>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</si>
  <si>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</si>
  <si>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</si>
  <si>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</si>
  <si>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</si>
  <si>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</si>
  <si>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</si>
  <si>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</si>
  <si>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</si>
  <si>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</si>
  <si>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</si>
  <si>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</si>
  <si>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</si>
  <si>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</si>
  <si>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</si>
  <si>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</si>
  <si>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</si>
  <si>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</si>
  <si>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</si>
  <si>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</si>
  <si>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</si>
  <si>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</si>
  <si>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</si>
  <si>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</si>
  <si>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</si>
  <si>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</si>
  <si>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</si>
  <si>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</si>
  <si>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</si>
  <si>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</si>
  <si>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</si>
  <si>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</si>
  <si>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</si>
  <si>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</si>
  <si>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</si>
  <si>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</si>
  <si>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</si>
  <si>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</si>
  <si>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</si>
  <si>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</si>
  <si>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</si>
  <si>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</si>
  <si>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</si>
  <si>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</si>
  <si>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</si>
  <si>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</si>
  <si>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</si>
  <si>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</si>
  <si>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</si>
  <si>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</si>
  <si>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</si>
  <si>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</si>
  <si>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</si>
  <si>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</si>
  <si>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</si>
  <si>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</si>
  <si>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</si>
  <si>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</si>
  <si>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</si>
  <si>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</si>
  <si>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</si>
  <si>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</si>
  <si>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</si>
  <si>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</si>
  <si>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</si>
  <si>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</si>
  <si>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</si>
  <si>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</si>
  <si>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</si>
  <si>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</si>
  <si>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</si>
  <si>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</si>
  <si>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</si>
  <si>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</si>
  <si>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</si>
  <si>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</si>
  <si>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</si>
  <si>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</si>
  <si>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</si>
  <si>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</si>
  <si>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</si>
  <si>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</si>
  <si>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</si>
  <si>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</si>
  <si>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</si>
  <si>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</si>
  <si>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</si>
  <si>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</si>
  <si>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</si>
  <si>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</si>
  <si>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</si>
  <si>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</si>
  <si>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</si>
  <si>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</si>
  <si>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</si>
  <si>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</si>
  <si>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</si>
  <si>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</si>
  <si>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</si>
  <si>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</si>
  <si>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</si>
  <si>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</si>
  <si>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</si>
  <si>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</si>
  <si>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</si>
  <si>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</si>
  <si>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</si>
  <si>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</si>
  <si>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</si>
  <si>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</si>
  <si>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</si>
  <si>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</si>
  <si>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</si>
  <si>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</si>
  <si>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</si>
  <si>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</si>
  <si>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</si>
  <si>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</si>
  <si>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</si>
  <si>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</si>
  <si>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</si>
  <si>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</si>
  <si>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</si>
  <si>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</si>
  <si>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</si>
  <si>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</si>
  <si>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</si>
  <si>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</si>
  <si>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</si>
  <si>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</si>
  <si>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</si>
  <si>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</si>
  <si>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</si>
  <si>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</si>
  <si>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</si>
  <si>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</si>
  <si>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</si>
  <si>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</si>
  <si>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</si>
  <si>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</si>
  <si>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</si>
  <si>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</si>
  <si>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</si>
  <si>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</si>
  <si>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</si>
  <si>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</si>
  <si>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</si>
  <si>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</si>
  <si>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</si>
  <si>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</si>
  <si>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</si>
  <si>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</si>
  <si>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</si>
  <si>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</si>
  <si>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</si>
  <si>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</si>
  <si>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</si>
  <si>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</si>
  <si>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</si>
  <si>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</si>
  <si>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</si>
  <si>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</si>
  <si>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</si>
  <si>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</si>
  <si>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</si>
  <si>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</si>
  <si>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</si>
  <si>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</si>
  <si>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</si>
  <si>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</si>
  <si>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</si>
  <si>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</si>
  <si>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</si>
  <si>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</si>
  <si>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</si>
  <si>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</si>
  <si>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</si>
  <si>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</si>
  <si>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</si>
  <si>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</si>
  <si>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</si>
  <si>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</si>
  <si>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</si>
  <si>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</si>
  <si>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</si>
  <si>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</si>
  <si>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</si>
  <si>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</si>
  <si>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</si>
  <si>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</si>
  <si>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</si>
  <si>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</si>
  <si>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</si>
  <si>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</si>
  <si>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</si>
  <si>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</si>
  <si>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</si>
  <si>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</si>
  <si>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</si>
  <si>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</si>
  <si>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</si>
  <si>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</si>
  <si>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</si>
  <si>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</si>
  <si>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</si>
  <si>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</si>
  <si>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</si>
  <si>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</si>
  <si>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</si>
  <si>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</si>
  <si>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</si>
  <si>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</si>
  <si>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</si>
  <si>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</si>
  <si>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</si>
  <si>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</si>
  <si>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</si>
  <si>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</si>
  <si>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</si>
  <si>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</si>
  <si>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</si>
  <si>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</si>
  <si>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</si>
  <si>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</si>
  <si>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</si>
  <si>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</si>
  <si>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</si>
  <si>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</si>
  <si>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</si>
  <si>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</si>
  <si>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</si>
  <si>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</si>
  <si>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</si>
  <si>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</si>
  <si>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</si>
  <si>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</si>
  <si>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</si>
  <si>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</si>
  <si>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</si>
  <si>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</si>
  <si>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</si>
  <si>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</si>
  <si>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</si>
  <si>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</si>
  <si>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</si>
  <si>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</si>
  <si>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</si>
  <si>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</si>
  <si>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</si>
  <si>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</si>
  <si>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</si>
  <si>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</si>
  <si>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</si>
  <si>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</si>
  <si>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</si>
  <si>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</si>
  <si>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</si>
  <si>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</si>
  <si>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</si>
  <si>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</si>
  <si>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</si>
  <si>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</si>
  <si>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</si>
  <si>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</si>
  <si>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</si>
  <si>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</si>
  <si>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</si>
  <si>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</si>
  <si>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</si>
  <si>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</si>
  <si>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</si>
  <si>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</si>
  <si>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</si>
  <si>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</si>
  <si>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</si>
  <si>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</si>
  <si>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</si>
  <si>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</si>
  <si>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</si>
  <si>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</si>
  <si>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</si>
  <si>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</si>
  <si>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</si>
  <si>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</si>
  <si>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</si>
  <si>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</si>
  <si>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</si>
  <si>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</si>
  <si>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</si>
  <si>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</si>
  <si>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</si>
  <si>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</si>
  <si>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</si>
  <si>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</si>
  <si>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</si>
  <si>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</si>
  <si>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</si>
  <si>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</si>
  <si>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</si>
  <si>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</si>
  <si>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</si>
  <si>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</si>
  <si>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</si>
  <si>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</si>
  <si>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</si>
  <si>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</si>
  <si>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</si>
  <si>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</si>
  <si>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</si>
  <si>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</si>
  <si>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</si>
  <si>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</si>
  <si>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</si>
  <si>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</si>
  <si>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</si>
  <si>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</si>
  <si>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</si>
  <si>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</si>
  <si>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</si>
  <si>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</si>
  <si>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</si>
  <si>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</si>
  <si>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</si>
  <si>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</si>
  <si>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</si>
  <si>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</si>
  <si>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</si>
  <si>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</si>
  <si>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</si>
  <si>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</si>
  <si>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</si>
  <si>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</si>
  <si>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</si>
  <si>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</si>
  <si>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</si>
  <si>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</si>
  <si>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</si>
  <si>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</si>
  <si>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</si>
  <si>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</si>
  <si>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</si>
  <si>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</si>
  <si>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</si>
  <si>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</si>
  <si>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</si>
  <si>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</si>
  <si>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</si>
  <si>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</si>
  <si>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</si>
  <si>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</si>
  <si>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</si>
  <si>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</si>
  <si>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</si>
  <si>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</si>
  <si>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WATERVILLE VALLEY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</si>
</sst>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4" activePane="bottomRight" state="frozen"/>
      <selection pane="topRight" activeCell="F1" sqref="F1"/>
      <selection pane="bottomLeft" activeCell="A4" sqref="A4"/>
      <selection pane="bottomRight" activeCell="F51" sqref="F5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553</v>
      </c>
      <c r="C2" s="21">
        <v>553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232151.3</v>
      </c>
      <c r="G9" s="18">
        <v>170.46</v>
      </c>
      <c r="H9" s="18">
        <v>-5.05</v>
      </c>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4"/>
      <c r="G16" s="4"/>
      <c r="H16" s="4"/>
      <c r="I16" s="4"/>
      <c r="J16" s="24" t="s">
        <v>288</v>
      </c>
      <c r="K16" s="24" t="s">
        <v>288</v>
      </c>
      <c r="L16" s="24" t="s">
        <v>288</v>
      </c>
      <c r="M16" s="8"/>
      <c r="N16" s="266"/>
    </row>
    <row r="17" spans="1:14" s="3" customFormat="1" ht="12.2" customHeight="1" x14ac:dyDescent="0.15">
      <c r="A17" s="1" t="s">
        <v>567</v>
      </c>
      <c r="B17" s="2" t="s">
        <v>289</v>
      </c>
      <c r="C17" s="6">
        <v>9</v>
      </c>
      <c r="D17" s="2" t="s">
        <v>428</v>
      </c>
      <c r="E17" s="6">
        <v>180</v>
      </c>
      <c r="F17" s="18">
        <v>2444.87</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234596.16999999998</v>
      </c>
      <c r="G19" s="41">
        <f>SUM(G9:G18)</f>
        <v>170.46</v>
      </c>
      <c r="H19" s="41">
        <f>SUM(H9:H18)</f>
        <v>-5.05</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14497.05</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12888.96</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27386.01</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65114.28</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170.46</v>
      </c>
      <c r="H48" s="18">
        <v>-5.05</v>
      </c>
      <c r="I48" s="18"/>
      <c r="J48" s="13">
        <f>SUM(I460)</f>
        <v>0</v>
      </c>
      <c r="K48" s="24" t="s">
        <v>288</v>
      </c>
      <c r="L48" s="24" t="s">
        <v>288</v>
      </c>
      <c r="M48" s="8"/>
      <c r="N48" s="266"/>
    </row>
    <row r="49" spans="1:14" s="3" customFormat="1" ht="12.2" customHeight="1" x14ac:dyDescent="0.15">
      <c r="A49" s="1" t="s">
        <v>859</v>
      </c>
      <c r="B49" s="2" t="s">
        <v>289</v>
      </c>
      <c r="C49" s="6">
        <v>34</v>
      </c>
      <c r="D49" s="2"/>
      <c r="E49" s="6">
        <v>753</v>
      </c>
      <c r="F49" s="18">
        <v>142095.88</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207210.16</v>
      </c>
      <c r="G51" s="41">
        <f>SUM(G35:G50)</f>
        <v>170.46</v>
      </c>
      <c r="H51" s="41">
        <f>SUM(H35:H50)</f>
        <v>-5.05</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234596.17</v>
      </c>
      <c r="G52" s="41">
        <f>G51+G32</f>
        <v>170.46</v>
      </c>
      <c r="H52" s="41">
        <f>H51+H32</f>
        <v>-5.05</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477258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477258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456</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11906.63</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12362.63</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22.01</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280.2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184.34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3625.56</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3831.91</v>
      </c>
      <c r="G111" s="41">
        <f>SUM(G96:G110)</f>
        <v>280.2</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493452.54</v>
      </c>
      <c r="G112" s="41">
        <f>G60+G111</f>
        <v>280.2</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675266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675266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440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440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675706</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19124.23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2995.43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3534.26</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25653.919999999998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19977.13</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19977.13</v>
      </c>
      <c r="G170" s="41">
        <f>G147+G163+SUM(G164:G169)</f>
        <v>0</v>
      </c>
      <c r="H170" s="41">
        <f>H147+H163+SUM(H164:H169)</f>
        <v>25653.919999999998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100</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100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100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1189135.67</v>
      </c>
      <c r="G194" s="47">
        <f>G112+G140+G170+G193</f>
        <v>380.2</v>
      </c>
      <c r="H194" s="47">
        <f>H112+H140+H170+H193</f>
        <v>25653.919999999998</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215854.12</v>
      </c>
      <c r="G198" s="18">
        <v>110401.83</v>
      </c>
      <c r="H198" s="18">
        <v>2516.81</v>
      </c>
      <c r="I198" s="18">
        <v>10067.52</v>
      </c>
      <c r="J198" s="18">
        <v>1941.25</v>
      </c>
      <c r="K198" s="18">
        <v>3047</v>
      </c>
      <c r="L198" s="19">
        <f>SUM(F198:K198)</f>
        <v>343828.53</v>
      </c>
      <c r="M198" s="8"/>
      <c r="N198" s="266"/>
    </row>
    <row r="199" spans="1:14" s="3" customFormat="1" ht="12.2" customHeight="1" x14ac:dyDescent="0.15">
      <c r="A199" s="1" t="s">
        <v>439</v>
      </c>
      <c r="B199" s="2" t="s">
        <v>341</v>
      </c>
      <c r="C199" s="2" t="s">
        <v>291</v>
      </c>
      <c r="D199" s="2" t="s">
        <v>431</v>
      </c>
      <c r="E199" s="6">
        <v>1200</v>
      </c>
      <c r="F199" s="18">
        <v>71290.899999999994</v>
      </c>
      <c r="G199" s="18">
        <v>42320.97</v>
      </c>
      <c r="H199" s="18">
        <v>5903.86</v>
      </c>
      <c r="I199" s="18">
        <v>4408.25</v>
      </c>
      <c r="J199" s="18">
        <v>111.73</v>
      </c>
      <c r="K199" s="18">
        <v>65</v>
      </c>
      <c r="L199" s="19">
        <f>SUM(F199:K199)</f>
        <v>124100.70999999999</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4765</v>
      </c>
      <c r="G201" s="18">
        <v>1739.31</v>
      </c>
      <c r="H201" s="18">
        <v>0</v>
      </c>
      <c r="I201" s="18">
        <v>53.28</v>
      </c>
      <c r="J201" s="18">
        <v>0</v>
      </c>
      <c r="K201" s="18">
        <v>0</v>
      </c>
      <c r="L201" s="19">
        <f>SUM(F201:K201)</f>
        <v>6557.5899999999992</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8729.6</v>
      </c>
      <c r="G203" s="18">
        <v>3967.36</v>
      </c>
      <c r="H203" s="18">
        <v>14846.82</v>
      </c>
      <c r="I203" s="18">
        <v>637.64</v>
      </c>
      <c r="J203" s="18">
        <v>0</v>
      </c>
      <c r="K203" s="18">
        <v>299</v>
      </c>
      <c r="L203" s="19">
        <f t="shared" ref="L203:L209" si="0">SUM(F203:K203)</f>
        <v>28480.42</v>
      </c>
      <c r="M203" s="8"/>
      <c r="N203" s="266"/>
    </row>
    <row r="204" spans="1:14" s="3" customFormat="1" ht="12.2" customHeight="1" x14ac:dyDescent="0.15">
      <c r="A204" s="1" t="s">
        <v>443</v>
      </c>
      <c r="B204" s="2" t="s">
        <v>341</v>
      </c>
      <c r="C204" s="2" t="s">
        <v>295</v>
      </c>
      <c r="D204" s="2" t="s">
        <v>431</v>
      </c>
      <c r="E204" s="6">
        <v>2200</v>
      </c>
      <c r="F204" s="18">
        <v>16742.400000000001</v>
      </c>
      <c r="G204" s="18">
        <v>8891.2900000000009</v>
      </c>
      <c r="H204" s="18">
        <v>150</v>
      </c>
      <c r="I204" s="18">
        <v>5909.96</v>
      </c>
      <c r="J204" s="18">
        <v>4439</v>
      </c>
      <c r="K204" s="18">
        <v>0</v>
      </c>
      <c r="L204" s="19">
        <f t="shared" si="0"/>
        <v>36132.65</v>
      </c>
      <c r="M204" s="8"/>
      <c r="N204" s="266"/>
    </row>
    <row r="205" spans="1:14" s="3" customFormat="1" ht="12.2" customHeight="1" x14ac:dyDescent="0.15">
      <c r="A205" s="1" t="s">
        <v>444</v>
      </c>
      <c r="B205" s="2" t="s">
        <v>341</v>
      </c>
      <c r="C205" s="2" t="s">
        <v>296</v>
      </c>
      <c r="D205" s="2" t="s">
        <v>431</v>
      </c>
      <c r="E205" s="6">
        <v>2300</v>
      </c>
      <c r="F205" s="18">
        <v>70</v>
      </c>
      <c r="G205" s="18">
        <v>0</v>
      </c>
      <c r="H205" s="18">
        <v>96294.720000000001</v>
      </c>
      <c r="I205" s="18">
        <v>0</v>
      </c>
      <c r="J205" s="18">
        <v>0</v>
      </c>
      <c r="K205" s="18">
        <v>1829.76</v>
      </c>
      <c r="L205" s="19">
        <f t="shared" si="0"/>
        <v>98194.48</v>
      </c>
      <c r="M205" s="8"/>
      <c r="N205" s="266"/>
    </row>
    <row r="206" spans="1:14" s="3" customFormat="1" ht="12.2" customHeight="1" x14ac:dyDescent="0.15">
      <c r="A206" s="1" t="s">
        <v>445</v>
      </c>
      <c r="B206" s="2" t="s">
        <v>341</v>
      </c>
      <c r="C206" s="2" t="s">
        <v>297</v>
      </c>
      <c r="D206" s="2" t="s">
        <v>431</v>
      </c>
      <c r="E206" s="6">
        <v>2400</v>
      </c>
      <c r="F206" s="18">
        <v>115496.06</v>
      </c>
      <c r="G206" s="18">
        <v>44358.31</v>
      </c>
      <c r="H206" s="18">
        <v>1879.44</v>
      </c>
      <c r="I206" s="18">
        <v>5012.66</v>
      </c>
      <c r="J206" s="18">
        <v>0</v>
      </c>
      <c r="K206" s="18">
        <v>6009.06</v>
      </c>
      <c r="L206" s="19">
        <f t="shared" si="0"/>
        <v>172755.53</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53865.64</v>
      </c>
      <c r="G208" s="18">
        <v>16196.06</v>
      </c>
      <c r="H208" s="18">
        <v>55906.38</v>
      </c>
      <c r="I208" s="18">
        <v>34001.72</v>
      </c>
      <c r="J208" s="18">
        <v>20468.41</v>
      </c>
      <c r="K208" s="18">
        <v>0</v>
      </c>
      <c r="L208" s="19">
        <f t="shared" si="0"/>
        <v>180438.21</v>
      </c>
      <c r="M208" s="8"/>
      <c r="N208" s="266"/>
    </row>
    <row r="209" spans="1:14" s="3" customFormat="1" ht="12.2" customHeight="1" x14ac:dyDescent="0.15">
      <c r="A209" s="1" t="s">
        <v>448</v>
      </c>
      <c r="B209" s="2" t="s">
        <v>341</v>
      </c>
      <c r="C209" s="2" t="s">
        <v>300</v>
      </c>
      <c r="D209" s="2" t="s">
        <v>431</v>
      </c>
      <c r="E209" s="6">
        <v>2700</v>
      </c>
      <c r="F209" s="18">
        <v>0</v>
      </c>
      <c r="G209" s="18">
        <v>0</v>
      </c>
      <c r="H209" s="18">
        <v>1016.56</v>
      </c>
      <c r="I209" s="18">
        <v>0</v>
      </c>
      <c r="J209" s="18">
        <v>0</v>
      </c>
      <c r="K209" s="18">
        <v>0</v>
      </c>
      <c r="L209" s="19">
        <f t="shared" si="0"/>
        <v>1016.56</v>
      </c>
      <c r="M209" s="8"/>
      <c r="N209" s="266"/>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486813.72000000003</v>
      </c>
      <c r="G212" s="41">
        <f t="shared" si="1"/>
        <v>227875.12999999998</v>
      </c>
      <c r="H212" s="41">
        <f t="shared" si="1"/>
        <v>178514.59</v>
      </c>
      <c r="I212" s="41">
        <f t="shared" si="1"/>
        <v>60091.03</v>
      </c>
      <c r="J212" s="41">
        <f t="shared" si="1"/>
        <v>26960.39</v>
      </c>
      <c r="K212" s="41">
        <f t="shared" si="1"/>
        <v>11249.82</v>
      </c>
      <c r="L212" s="41">
        <f t="shared" si="1"/>
        <v>991504.68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57691.66</v>
      </c>
      <c r="I234" s="18"/>
      <c r="J234" s="18"/>
      <c r="K234" s="18"/>
      <c r="L234" s="19">
        <f>SUM(F234:K234)</f>
        <v>57691.66</v>
      </c>
      <c r="M234" s="8"/>
      <c r="N234" s="266"/>
    </row>
    <row r="235" spans="1:14" s="3" customFormat="1" ht="12.2" customHeight="1" x14ac:dyDescent="0.15">
      <c r="A235" s="1" t="s">
        <v>439</v>
      </c>
      <c r="B235" s="2" t="s">
        <v>350</v>
      </c>
      <c r="C235" s="2" t="s">
        <v>291</v>
      </c>
      <c r="D235" s="2" t="s">
        <v>431</v>
      </c>
      <c r="E235" s="6">
        <v>1200</v>
      </c>
      <c r="F235" s="18"/>
      <c r="G235" s="18"/>
      <c r="H235" s="18">
        <v>26363.54</v>
      </c>
      <c r="I235" s="18"/>
      <c r="J235" s="18"/>
      <c r="K235" s="18"/>
      <c r="L235" s="19">
        <f>SUM(F235:K235)</f>
        <v>26363.54</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84055.200000000012</v>
      </c>
      <c r="I248" s="41">
        <f t="shared" si="5"/>
        <v>0</v>
      </c>
      <c r="J248" s="41">
        <f t="shared" si="5"/>
        <v>0</v>
      </c>
      <c r="K248" s="41">
        <f t="shared" si="5"/>
        <v>0</v>
      </c>
      <c r="L248" s="41">
        <f t="shared" si="5"/>
        <v>84055.200000000012</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65710.38</v>
      </c>
      <c r="I256" s="18"/>
      <c r="J256" s="18"/>
      <c r="K256" s="18"/>
      <c r="L256" s="19">
        <f t="shared" si="6"/>
        <v>65710.38</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65710.38</v>
      </c>
      <c r="I257" s="41">
        <f t="shared" si="7"/>
        <v>0</v>
      </c>
      <c r="J257" s="41">
        <f t="shared" si="7"/>
        <v>0</v>
      </c>
      <c r="K257" s="41">
        <f t="shared" si="7"/>
        <v>0</v>
      </c>
      <c r="L257" s="41">
        <f>SUM(F257:K257)</f>
        <v>65710.38</v>
      </c>
      <c r="M257" s="8"/>
      <c r="N257" s="266"/>
    </row>
    <row r="258" spans="1:14" s="3" customFormat="1" ht="12.2" customHeight="1" thickTop="1" x14ac:dyDescent="0.15">
      <c r="A258" s="38" t="s">
        <v>462</v>
      </c>
      <c r="B258" s="40">
        <v>10</v>
      </c>
      <c r="C258" s="40">
        <v>8</v>
      </c>
      <c r="D258" s="39" t="s">
        <v>431</v>
      </c>
      <c r="E258" s="40"/>
      <c r="F258" s="41">
        <f t="shared" ref="F258:L258" si="8">F212+F230+F248+F257</f>
        <v>486813.72000000003</v>
      </c>
      <c r="G258" s="41">
        <f t="shared" si="8"/>
        <v>227875.12999999998</v>
      </c>
      <c r="H258" s="41">
        <f t="shared" si="8"/>
        <v>328280.17000000004</v>
      </c>
      <c r="I258" s="41">
        <f t="shared" si="8"/>
        <v>60091.03</v>
      </c>
      <c r="J258" s="41">
        <f t="shared" si="8"/>
        <v>26960.39</v>
      </c>
      <c r="K258" s="41">
        <f t="shared" si="8"/>
        <v>11249.82</v>
      </c>
      <c r="L258" s="41">
        <f t="shared" si="8"/>
        <v>1141270.2600000002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100</v>
      </c>
      <c r="L264" s="19">
        <f>SUM(F264:K264)</f>
        <v>100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100</v>
      </c>
      <c r="L271" s="41">
        <f t="shared" si="9"/>
        <v>100</v>
      </c>
      <c r="M271" s="8"/>
      <c r="N271" s="266"/>
    </row>
    <row r="272" spans="1:14" s="34" customFormat="1" ht="12.2" customHeight="1" thickTop="1" x14ac:dyDescent="0.2">
      <c r="A272" s="43" t="s">
        <v>464</v>
      </c>
      <c r="B272" s="40">
        <v>10</v>
      </c>
      <c r="C272" s="40">
        <v>18</v>
      </c>
      <c r="D272" s="39" t="s">
        <v>431</v>
      </c>
      <c r="E272" s="40"/>
      <c r="F272" s="42">
        <f t="shared" ref="F272:L272" si="11">F258+F271</f>
        <v>486813.72000000003</v>
      </c>
      <c r="G272" s="42">
        <f t="shared" si="11"/>
        <v>227875.12999999998</v>
      </c>
      <c r="H272" s="42">
        <f t="shared" si="11"/>
        <v>328280.17000000004</v>
      </c>
      <c r="I272" s="42">
        <f t="shared" si="11"/>
        <v>60091.03</v>
      </c>
      <c r="J272" s="42">
        <f t="shared" si="11"/>
        <v>26960.39</v>
      </c>
      <c r="K272" s="42">
        <f t="shared" si="11"/>
        <v>11349.82</v>
      </c>
      <c r="L272" s="42">
        <f t="shared" si="11"/>
        <v>1141370.2600000002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v>2883</v>
      </c>
      <c r="I278" s="18"/>
      <c r="J278" s="18"/>
      <c r="K278" s="18"/>
      <c r="L278" s="19">
        <f>SUM(F278:K278)</f>
        <v>2883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4140</v>
      </c>
      <c r="G280" s="18">
        <v>592.32000000000005</v>
      </c>
      <c r="H280" s="18">
        <v>737</v>
      </c>
      <c r="I280" s="18">
        <v>4700.84</v>
      </c>
      <c r="J280" s="18">
        <v>0</v>
      </c>
      <c r="K280" s="18">
        <v>405</v>
      </c>
      <c r="L280" s="19">
        <f>SUM(F280:K280)</f>
        <v>10575.16</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v>11297.19</v>
      </c>
      <c r="I283" s="18"/>
      <c r="J283" s="18"/>
      <c r="K283" s="18"/>
      <c r="L283" s="19">
        <f t="shared" si="12"/>
        <v>11297.19</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v>38.06</v>
      </c>
      <c r="L284" s="19">
        <f t="shared" si="12"/>
        <v>38.06</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v>301.94</v>
      </c>
      <c r="L285" s="19">
        <f t="shared" si="12"/>
        <v>301.94</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v>563.62</v>
      </c>
      <c r="L286" s="19">
        <f t="shared" si="12"/>
        <v>563.62</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4140</v>
      </c>
      <c r="G291" s="42">
        <f t="shared" si="13"/>
        <v>592.32000000000005</v>
      </c>
      <c r="H291" s="42">
        <f t="shared" si="13"/>
        <v>14917.19</v>
      </c>
      <c r="I291" s="42">
        <f t="shared" si="13"/>
        <v>4700.84</v>
      </c>
      <c r="J291" s="42">
        <f t="shared" si="13"/>
        <v>0</v>
      </c>
      <c r="K291" s="42">
        <f t="shared" si="13"/>
        <v>1308.6199999999999</v>
      </c>
      <c r="L291" s="41">
        <f t="shared" si="13"/>
        <v>25658.969999999998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4140</v>
      </c>
      <c r="G339" s="41">
        <f t="shared" si="20"/>
        <v>592.32000000000005</v>
      </c>
      <c r="H339" s="41">
        <f t="shared" si="20"/>
        <v>14917.19</v>
      </c>
      <c r="I339" s="41">
        <f t="shared" si="20"/>
        <v>4700.84</v>
      </c>
      <c r="J339" s="41">
        <f t="shared" si="20"/>
        <v>0</v>
      </c>
      <c r="K339" s="41">
        <f t="shared" si="20"/>
        <v>1308.6199999999999</v>
      </c>
      <c r="L339" s="41">
        <f t="shared" si="20"/>
        <v>25658.969999999998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4140</v>
      </c>
      <c r="G353" s="41">
        <f>G339</f>
        <v>592.32000000000005</v>
      </c>
      <c r="H353" s="41">
        <f>H339</f>
        <v>14917.19</v>
      </c>
      <c r="I353" s="41">
        <f>I339</f>
        <v>4700.84</v>
      </c>
      <c r="J353" s="41">
        <f>J339</f>
        <v>0</v>
      </c>
      <c r="K353" s="47">
        <f>K339+K352</f>
        <v>1308.6199999999999</v>
      </c>
      <c r="L353" s="41">
        <f>L339+L352</f>
        <v>25658.969999999998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v>289.55</v>
      </c>
      <c r="J359" s="18"/>
      <c r="K359" s="18"/>
      <c r="L359" s="13">
        <f>SUM(F359:K359)</f>
        <v>289.55</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289.55</v>
      </c>
      <c r="J363" s="47">
        <f t="shared" si="22"/>
        <v>0</v>
      </c>
      <c r="K363" s="47">
        <f t="shared" si="22"/>
        <v>0</v>
      </c>
      <c r="L363" s="47">
        <f t="shared" si="22"/>
        <v>289.55</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289.55</v>
      </c>
      <c r="G368" s="18"/>
      <c r="H368" s="18"/>
      <c r="I368" s="56">
        <f>SUM(F368:H368)</f>
        <v>289.55</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289.55</v>
      </c>
      <c r="G370" s="47">
        <f>SUM(G368:G369)</f>
        <v>0</v>
      </c>
      <c r="H370" s="47">
        <f>SUM(H368:H369)</f>
        <v>0</v>
      </c>
      <c r="I370" s="47">
        <f>SUM(I368:I369)</f>
        <v>289.55</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159444.75</v>
      </c>
      <c r="G466" s="18">
        <v>79.81</v>
      </c>
      <c r="H466" s="18">
        <v>0</v>
      </c>
      <c r="I466" s="18"/>
      <c r="J466" s="18"/>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1189135.67</v>
      </c>
      <c r="G469" s="18">
        <v>380.2</v>
      </c>
      <c r="H469" s="18">
        <v>25653.919999999998</v>
      </c>
      <c r="I469" s="18"/>
      <c r="J469" s="18"/>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1189135.67</v>
      </c>
      <c r="G471" s="53">
        <f>SUM(G469:G470)</f>
        <v>380.2</v>
      </c>
      <c r="H471" s="53">
        <f>SUM(H469:H470)</f>
        <v>25653.919999999998</v>
      </c>
      <c r="I471" s="53">
        <f>SUM(I469:I470)</f>
        <v>0</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1141370.26</v>
      </c>
      <c r="G473" s="18">
        <v>289.55</v>
      </c>
      <c r="H473" s="18">
        <v>25658.97</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1141370.26</v>
      </c>
      <c r="G475" s="53">
        <f>SUM(G473:G474)</f>
        <v>289.55</v>
      </c>
      <c r="H475" s="53">
        <f>SUM(H473:H474)</f>
        <v>25658.97</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207210.15999999992</v>
      </c>
      <c r="G477" s="53">
        <f>(G466+G471)- G475</f>
        <v>170.45999999999998</v>
      </c>
      <c r="H477" s="53">
        <f>(H466+H471)- H475</f>
        <v>-5.0500000000029104</v>
      </c>
      <c r="I477" s="53">
        <f>(I466+I471)- I475</f>
        <v>0</v>
      </c>
      <c r="J477" s="53">
        <f>(J466+J471)- J475</f>
        <v>0</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71290.899999999994</v>
      </c>
      <c r="G522" s="18">
        <v>42320.97</v>
      </c>
      <c r="H522" s="18">
        <v>5903.86</v>
      </c>
      <c r="I522" s="18">
        <v>4408.25</v>
      </c>
      <c r="J522" s="18">
        <v>111.73</v>
      </c>
      <c r="K522" s="18">
        <v>65</v>
      </c>
      <c r="L522" s="88">
        <f>SUM(F522:K522)</f>
        <v>124100.70999999999</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26363.54</v>
      </c>
      <c r="I524" s="18"/>
      <c r="J524" s="18"/>
      <c r="K524" s="18"/>
      <c r="L524" s="88">
        <f>SUM(F524:K524)</f>
        <v>26363.54</v>
      </c>
      <c r="N524" s="265"/>
    </row>
    <row r="525" spans="1:14" s="52" customFormat="1" ht="12.2" customHeight="1" thickTop="1" x14ac:dyDescent="0.2">
      <c r="A525" s="139" t="s">
        <v>63</v>
      </c>
      <c r="B525" s="107">
        <v>21</v>
      </c>
      <c r="C525" s="195">
        <v>4</v>
      </c>
      <c r="D525" s="196" t="s">
        <v>432</v>
      </c>
      <c r="E525" s="195"/>
      <c r="F525" s="108">
        <f>SUM(F522:F524)</f>
        <v>71290.899999999994</v>
      </c>
      <c r="G525" s="108">
        <f t="shared" ref="G525:L525" si="36">SUM(G522:G524)</f>
        <v>42320.97</v>
      </c>
      <c r="H525" s="108">
        <f t="shared" si="36"/>
        <v>32267.4</v>
      </c>
      <c r="I525" s="108">
        <f t="shared" si="36"/>
        <v>4408.25</v>
      </c>
      <c r="J525" s="108">
        <f t="shared" si="36"/>
        <v>111.73</v>
      </c>
      <c r="K525" s="108">
        <f t="shared" si="36"/>
        <v>65</v>
      </c>
      <c r="L525" s="89">
        <f t="shared" si="36"/>
        <v>150464.25</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1745.92</v>
      </c>
      <c r="G527" s="18">
        <v>793.47</v>
      </c>
      <c r="H527" s="18">
        <v>3634.16</v>
      </c>
      <c r="I527" s="18">
        <v>127.53</v>
      </c>
      <c r="J527" s="18"/>
      <c r="K527" s="18">
        <v>59.8</v>
      </c>
      <c r="L527" s="88">
        <f>SUM(F527:K527)</f>
        <v>6360.88</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1745.92</v>
      </c>
      <c r="G530" s="89">
        <f t="shared" ref="G530:L530" si="37">SUM(G527:G529)</f>
        <v>793.47</v>
      </c>
      <c r="H530" s="89">
        <f t="shared" si="37"/>
        <v>3634.16</v>
      </c>
      <c r="I530" s="89">
        <f t="shared" si="37"/>
        <v>127.53</v>
      </c>
      <c r="J530" s="89">
        <f t="shared" si="37"/>
        <v>0</v>
      </c>
      <c r="K530" s="89">
        <f t="shared" si="37"/>
        <v>59.8</v>
      </c>
      <c r="L530" s="89">
        <f t="shared" si="37"/>
        <v>6360.88</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7074.86</v>
      </c>
      <c r="G532" s="18">
        <v>3306.68</v>
      </c>
      <c r="H532" s="18"/>
      <c r="I532" s="18"/>
      <c r="J532" s="18"/>
      <c r="K532" s="18"/>
      <c r="L532" s="88">
        <f>SUM(F532:K532)</f>
        <v>10381.539999999999</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7074.86</v>
      </c>
      <c r="G535" s="89">
        <f t="shared" ref="G535:L535" si="38">SUM(G532:G534)</f>
        <v>3306.68</v>
      </c>
      <c r="H535" s="89">
        <f t="shared" si="38"/>
        <v>0</v>
      </c>
      <c r="I535" s="89">
        <f t="shared" si="38"/>
        <v>0</v>
      </c>
      <c r="J535" s="89">
        <f t="shared" si="38"/>
        <v>0</v>
      </c>
      <c r="K535" s="89">
        <f t="shared" si="38"/>
        <v>0</v>
      </c>
      <c r="L535" s="89">
        <f t="shared" si="38"/>
        <v>10381.539999999999</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2042.5</v>
      </c>
      <c r="I537" s="18"/>
      <c r="J537" s="18"/>
      <c r="K537" s="18"/>
      <c r="L537" s="88">
        <f>SUM(F537:K537)</f>
        <v>2042.5</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2042.5</v>
      </c>
      <c r="I540" s="89">
        <f t="shared" si="39"/>
        <v>0</v>
      </c>
      <c r="J540" s="89">
        <f t="shared" si="39"/>
        <v>0</v>
      </c>
      <c r="K540" s="89">
        <f t="shared" si="39"/>
        <v>0</v>
      </c>
      <c r="L540" s="89">
        <f t="shared" si="39"/>
        <v>2042.5</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80111.679999999993</v>
      </c>
      <c r="G546" s="89">
        <f t="shared" ref="G546:L546" si="41">G525+G530+G535+G540+G545</f>
        <v>46421.120000000003</v>
      </c>
      <c r="H546" s="89">
        <f t="shared" si="41"/>
        <v>37944.06</v>
      </c>
      <c r="I546" s="89">
        <f t="shared" si="41"/>
        <v>4535.78</v>
      </c>
      <c r="J546" s="89">
        <f t="shared" si="41"/>
        <v>111.73</v>
      </c>
      <c r="K546" s="89">
        <f t="shared" si="41"/>
        <v>124.8</v>
      </c>
      <c r="L546" s="89">
        <f t="shared" si="41"/>
        <v>169249.17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124100.70999999999</v>
      </c>
      <c r="G550" s="87">
        <f>L527</f>
        <v>6360.88</v>
      </c>
      <c r="H550" s="87">
        <f>L532</f>
        <v>10381.539999999999</v>
      </c>
      <c r="I550" s="87">
        <f>L537</f>
        <v>2042.5</v>
      </c>
      <c r="J550" s="87">
        <f>L542</f>
        <v>0</v>
      </c>
      <c r="K550" s="87">
        <f>SUM(F550:J550)</f>
        <v>142885.63</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26363.54</v>
      </c>
      <c r="G552" s="87">
        <f>L529</f>
        <v>0</v>
      </c>
      <c r="H552" s="87">
        <f>L534</f>
        <v>0</v>
      </c>
      <c r="I552" s="87">
        <f>L539</f>
        <v>0</v>
      </c>
      <c r="J552" s="87">
        <f>L544</f>
        <v>0</v>
      </c>
      <c r="K552" s="87">
        <f>SUM(F552:J552)</f>
        <v>26363.54</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150464.25</v>
      </c>
      <c r="G553" s="89">
        <f t="shared" si="42"/>
        <v>6360.88</v>
      </c>
      <c r="H553" s="89">
        <f t="shared" si="42"/>
        <v>10381.539999999999</v>
      </c>
      <c r="I553" s="89">
        <f t="shared" si="42"/>
        <v>2042.5</v>
      </c>
      <c r="J553" s="89">
        <f t="shared" si="42"/>
        <v>0</v>
      </c>
      <c r="K553" s="89">
        <f t="shared" si="42"/>
        <v>169249.17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57691.66</v>
      </c>
      <c r="I576" s="87">
        <f>SUM(F576:H576)</f>
        <v>57691.66</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26363.54</v>
      </c>
      <c r="I580" s="87">
        <f t="shared" si="47"/>
        <v>26363.54</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c r="I592" s="18"/>
      <c r="J592" s="18"/>
      <c r="K592" s="104">
        <f t="shared" ref="K592:K598" si="48">SUM(H592:J592)</f>
        <v>0</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1016.56</v>
      </c>
      <c r="I596" s="18"/>
      <c r="J596" s="18"/>
      <c r="K596" s="104">
        <f t="shared" si="48"/>
        <v>1016.56</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1016.56</v>
      </c>
      <c r="I599" s="108">
        <f>SUM(I592:I598)</f>
        <v>0</v>
      </c>
      <c r="J599" s="108">
        <f>SUM(J592:J598)</f>
        <v>0</v>
      </c>
      <c r="K599" s="108">
        <f>SUM(K592:K598)</f>
        <v>1016.56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26960.39</v>
      </c>
      <c r="I605" s="18"/>
      <c r="J605" s="18"/>
      <c r="K605" s="104">
        <f>SUM(H605:J605)</f>
        <v>26960.39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26960.39</v>
      </c>
      <c r="I606" s="108">
        <f>SUM(I603:I605)</f>
        <v>0</v>
      </c>
      <c r="J606" s="108">
        <f>SUM(J603:J605)</f>
        <v>0</v>
      </c>
      <c r="K606" s="108">
        <f>SUM(K603:K605)</f>
        <v>26960.39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2640</v>
      </c>
      <c r="G612" s="18">
        <v>592.32000000000005</v>
      </c>
      <c r="H612" s="18"/>
      <c r="I612" s="18"/>
      <c r="J612" s="18"/>
      <c r="K612" s="18"/>
      <c r="L612" s="88">
        <f>SUM(F612:K612)</f>
        <v>3232.32</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2640</v>
      </c>
      <c r="G615" s="108">
        <f t="shared" si="49"/>
        <v>592.32000000000005</v>
      </c>
      <c r="H615" s="108">
        <f t="shared" si="49"/>
        <v>0</v>
      </c>
      <c r="I615" s="108">
        <f t="shared" si="49"/>
        <v>0</v>
      </c>
      <c r="J615" s="108">
        <f t="shared" si="49"/>
        <v>0</v>
      </c>
      <c r="K615" s="108">
        <f t="shared" si="49"/>
        <v>0</v>
      </c>
      <c r="L615" s="89">
        <f t="shared" si="49"/>
        <v>3232.32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234596.16999999998</v>
      </c>
      <c r="H618" s="109">
        <f>SUM(F52)</f>
        <v>234596.17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170.46</v>
      </c>
      <c r="H619" s="109">
        <f>SUM(G52)</f>
        <v>170.46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-5.05</v>
      </c>
      <c r="H620" s="109">
        <f>SUM(H52)</f>
        <v>-5.05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207210.16</v>
      </c>
      <c r="H623" s="109">
        <f>F477</f>
        <v>207210.15999999992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170.46</v>
      </c>
      <c r="H624" s="109">
        <f>G477</f>
        <v>170.45999999999998</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-5.05</v>
      </c>
      <c r="H625" s="109">
        <f>H477</f>
        <v>-5.0500000000029104</v>
      </c>
      <c r="I625" s="121" t="s">
        <v>103</v>
      </c>
      <c r="J625" s="109">
        <f t="shared" si="50"/>
        <v>2.9105606813573104E-12</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1189135.67</v>
      </c>
      <c r="H628" s="104">
        <f>SUM(F469)</f>
        <v>1189135.67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380.2</v>
      </c>
      <c r="H629" s="104">
        <f>SUM(G469)</f>
        <v>380.2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25653.919999999998</v>
      </c>
      <c r="H630" s="104">
        <f>SUM(H469)</f>
        <v>25653.919999999998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1141370.2600000002</v>
      </c>
      <c r="H633" s="104">
        <f>SUM(F473)</f>
        <v>1141370.26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25658.969999999998</v>
      </c>
      <c r="H634" s="104">
        <f>SUM(H473)</f>
        <v>25658.97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289.55</v>
      </c>
      <c r="H635" s="104">
        <f>I370</f>
        <v>289.55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289.55</v>
      </c>
      <c r="H636" s="104">
        <f>SUM(G473)</f>
        <v>289.55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1016.56</v>
      </c>
      <c r="H648" s="104">
        <f>L209+L227+L245</f>
        <v>1016.56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26960.39</v>
      </c>
      <c r="H649" s="104">
        <f>(J258+J339)-(J256+J337)</f>
        <v>26960.39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1016.56</v>
      </c>
      <c r="H650" s="104">
        <f>H599</f>
        <v>1016.56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100</v>
      </c>
      <c r="H653" s="104">
        <f>K264+K346</f>
        <v>100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1017453.2000000001</v>
      </c>
      <c r="G661" s="19">
        <f>(L230+L310+L360)</f>
        <v>0</v>
      </c>
      <c r="H661" s="19">
        <f>(L248+L329+L361)</f>
        <v>84055.200000000012</v>
      </c>
      <c r="I661" s="19">
        <f>SUM(F661:H661)</f>
        <v>1101508.4000000001</v>
      </c>
      <c r="J661" s="13"/>
      <c r="K661" s="13"/>
      <c r="L661" s="13"/>
      <c r="M661" s="9"/>
    </row>
    <row r="662" spans="1:13" s="3" customFormat="1" ht="12.2" customHeight="1" x14ac:dyDescent="0.2">
      <c r="A662" s="1" t="s">
        <v>127</v>
      </c>
      <c r="F662" s="19">
        <f>(L359/IF(SUM(L359:L361)=0,1,SUM(L359:L361))*(SUM(G97:G110)))</f>
        <v>280.2</v>
      </c>
      <c r="G662" s="19">
        <f>(L360/IF(SUM(L359:L361)=0,1,SUM(L359:L361))*(SUM(G97:G110)))</f>
        <v>0</v>
      </c>
      <c r="H662" s="19">
        <f>(L361/IF(SUM(L359:L361)=0,1,SUM(L359:L361))*(SUM(G97:G110)))</f>
        <v>0</v>
      </c>
      <c r="I662" s="19">
        <f>SUM(F662:H662)</f>
        <v>280.2</v>
      </c>
      <c r="J662"/>
      <c r="K662" s="13"/>
      <c r="L662" s="13"/>
      <c r="M662" s="8"/>
    </row>
    <row r="663" spans="1:13" s="3" customFormat="1" ht="12.2" customHeight="1" x14ac:dyDescent="0.2">
      <c r="A663" s="1" t="s">
        <v>128</v>
      </c>
      <c r="F663" s="19">
        <f>(L209+L288)-(J209+J288)</f>
        <v>1016.56</v>
      </c>
      <c r="G663" s="19">
        <f>(L227+L307)-(J227+J307)</f>
        <v>0</v>
      </c>
      <c r="H663" s="19">
        <f>(L245+L326)-(J245+J326)</f>
        <v>0</v>
      </c>
      <c r="I663" s="19">
        <f>SUM(F663:H663)</f>
        <v>1016.56</v>
      </c>
      <c r="J663"/>
      <c r="K663" s="13"/>
      <c r="L663" s="13"/>
      <c r="M663" s="9"/>
    </row>
    <row r="664" spans="1:13" s="3" customFormat="1" ht="12.2" customHeight="1" x14ac:dyDescent="0.15">
      <c r="A664" s="198" t="s">
        <v>129</v>
      </c>
      <c r="B664" s="169"/>
      <c r="C664" s="169"/>
      <c r="D664" s="169"/>
      <c r="E664" s="169"/>
      <c r="F664" s="199">
        <f>SUM(F576:F588)+SUM(H603:H605)+SUM(L612)</f>
        <v>30192.71</v>
      </c>
      <c r="G664" s="199">
        <f>SUM(G576:G588)+SUM(I603:I605)+L613</f>
        <v>0</v>
      </c>
      <c r="H664" s="199">
        <f>SUM(H576:H588)+SUM(J603:J605)+L614</f>
        <v>84055.200000000012</v>
      </c>
      <c r="I664" s="19">
        <f>SUM(F664:H664)</f>
        <v>114247.91</v>
      </c>
      <c r="J664" s="13"/>
      <c r="K664" s="13"/>
      <c r="L664" s="13"/>
      <c r="M664" s="9"/>
    </row>
    <row r="665" spans="1:13" s="3" customFormat="1" ht="12.2" customHeight="1" x14ac:dyDescent="0.15">
      <c r="A665" s="1" t="s">
        <v>130</v>
      </c>
      <c r="F665" s="19">
        <f>F661-SUM(F662:F664)</f>
        <v>985963.7300000001</v>
      </c>
      <c r="G665" s="19">
        <f>G661-SUM(G662:G664)</f>
        <v>0</v>
      </c>
      <c r="H665" s="19">
        <f>H661-SUM(H662:H664)</f>
        <v>0</v>
      </c>
      <c r="I665" s="19">
        <f>I661-SUM(I662:I664)</f>
        <v>985963.7300000001</v>
      </c>
      <c r="J665" s="13"/>
      <c r="K665" s="13"/>
      <c r="L665" s="13"/>
      <c r="M665" s="8"/>
    </row>
    <row r="666" spans="1:13" s="3" customFormat="1" ht="12.2" customHeight="1" x14ac:dyDescent="0.2">
      <c r="A666" s="1" t="s">
        <v>131</v>
      </c>
      <c r="F666" s="246">
        <v>17.28</v>
      </c>
      <c r="G666" s="247"/>
      <c r="H666" s="247"/>
      <c r="I666" s="19">
        <f>SUM(F666:H666)</f>
        <v>17.28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57058.09</v>
      </c>
      <c r="G668" s="19" t="e">
        <f>ROUND(G665/G666,2)</f>
        <v>#DIV/0!</v>
      </c>
      <c r="H668" s="19" t="e">
        <f>ROUND(H665/H666,2)</f>
        <v>#DIV/0!</v>
      </c>
      <c r="I668" s="19">
        <f>ROUND(I665/I666,2)</f>
        <v>57058.09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57058.09</v>
      </c>
      <c r="G673" s="19" t="e">
        <f>ROUND((G665+G670)/(G666+G671),2)</f>
        <v>#DIV/0!</v>
      </c>
      <c r="H673" s="19" t="e">
        <f>ROUND((H665+H670)/(H666+H671),2)</f>
        <v>#DIV/0!</v>
      </c>
      <c r="I673" s="19">
        <f>ROUND((I665+I670)/(I666+I671),2)</f>
        <v>57058.09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WATERVILLE VALLEY SCHOOL DISTRICT</v>
      </c>
      <c r="C5" s="344"/>
      <c r="D5" s="344"/>
      <c r="E5" s="344"/>
      <c r="F5" s="344"/>
    </row>
    <row r="8" spans="1:9" ht="18" x14ac:dyDescent="0.25">
      <c r="A8" s="323" t="s">
        <v>1591</v>
      </c>
      <c r="F8" s="330" t="s">
        <v>1609</v>
      </c>
    </row>
    <row r="9" spans="1:9" ht="15" x14ac:dyDescent="0.2">
      <c r="A9" s="321" t="s">
        <v>1592</v>
      </c>
      <c r="B9" s="324">
        <f>'DOE25'!G97</f>
        <v>280.2</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280.2</v>
      </c>
    </row>
    <row r="16" spans="1:9" ht="18" x14ac:dyDescent="0.25">
      <c r="A16" s="323" t="s">
        <v>786</v>
      </c>
      <c r="F16" s="330" t="s">
        <v>1610</v>
      </c>
    </row>
    <row r="17" spans="1:6" ht="15" x14ac:dyDescent="0.2">
      <c r="A17" s="321" t="s">
        <v>1597</v>
      </c>
      <c r="B17" s="324">
        <f>'DOE25'!L363-'DOE25'!L362</f>
        <v>289.55</v>
      </c>
      <c r="F17" s="321" t="s">
        <v>1611</v>
      </c>
    </row>
    <row r="18" spans="1:6" ht="15" x14ac:dyDescent="0.2">
      <c r="A18" s="321" t="s">
        <v>1598</v>
      </c>
      <c r="B18" s="338"/>
      <c r="F18" s="330" t="s">
        <v>1637</v>
      </c>
    </row>
    <row r="19" spans="1:6" ht="18" x14ac:dyDescent="0.25">
      <c r="A19" s="323" t="s">
        <v>725</v>
      </c>
      <c r="B19" s="325">
        <f>SUM(B17:B18)</f>
        <v>289.55</v>
      </c>
    </row>
    <row r="21" spans="1:6" ht="18.75" thickBot="1" x14ac:dyDescent="0.3">
      <c r="A21" s="323" t="s">
        <v>1599</v>
      </c>
    </row>
    <row r="22" spans="1:6" ht="18.75" thickTop="1" x14ac:dyDescent="0.25">
      <c r="A22" s="323" t="s">
        <v>1600</v>
      </c>
      <c r="B22" s="329">
        <f>B14-B19</f>
        <v>-9.3500000000000227</v>
      </c>
      <c r="F22" s="321" t="s">
        <v>1612</v>
      </c>
    </row>
    <row r="26" spans="1:6" ht="18" x14ac:dyDescent="0.25">
      <c r="A26" s="323" t="s">
        <v>186</v>
      </c>
    </row>
    <row r="27" spans="1:6" ht="15" x14ac:dyDescent="0.2">
      <c r="A27" s="321" t="s">
        <v>1601</v>
      </c>
      <c r="B27" s="324">
        <f>'DOE25'!G180</f>
        <v>100</v>
      </c>
      <c r="F27" s="321" t="s">
        <v>1613</v>
      </c>
    </row>
    <row r="28" spans="1:6" ht="15" x14ac:dyDescent="0.2">
      <c r="A28" s="321" t="s">
        <v>1603</v>
      </c>
      <c r="B28" s="324">
        <f>'DOE25'!L362</f>
        <v>0</v>
      </c>
      <c r="F28" s="321" t="s">
        <v>1614</v>
      </c>
    </row>
    <row r="31" spans="1:6" ht="15" x14ac:dyDescent="0.2">
      <c r="A31" s="321" t="s">
        <v>1640</v>
      </c>
      <c r="B31" s="324">
        <f>'DOE25'!G466</f>
        <v>79.81</v>
      </c>
      <c r="F31" s="321" t="s">
        <v>1615</v>
      </c>
    </row>
    <row r="33" spans="1:6" ht="15" x14ac:dyDescent="0.2">
      <c r="A33" s="321" t="s">
        <v>1641</v>
      </c>
      <c r="B33" s="324">
        <f>'DOE25'!G477</f>
        <v>170.45999999999998</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37" sqref="B3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WATERVILLE VALLEY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215854.12</v>
      </c>
      <c r="C9" s="229">
        <f>'DOE25'!G198+'DOE25'!G216+'DOE25'!G234+'DOE25'!G277+'DOE25'!G296+'DOE25'!G315</f>
        <v>110401.83</v>
      </c>
    </row>
    <row r="10" spans="1:3" x14ac:dyDescent="0.2">
      <c r="A10" t="s">
        <v>775</v>
      </c>
      <c r="B10" s="240">
        <v>211744.12</v>
      </c>
      <c r="C10" s="240">
        <v>110015.82</v>
      </c>
    </row>
    <row r="11" spans="1:3" x14ac:dyDescent="0.2">
      <c r="A11" t="s">
        <v>776</v>
      </c>
      <c r="B11" s="240"/>
      <c r="C11" s="240"/>
    </row>
    <row r="12" spans="1:3" x14ac:dyDescent="0.2">
      <c r="A12" t="s">
        <v>777</v>
      </c>
      <c r="B12" s="240">
        <v>4110</v>
      </c>
      <c r="C12" s="240">
        <v>386.01</v>
      </c>
    </row>
    <row r="13" spans="1:3" x14ac:dyDescent="0.2">
      <c r="A13" t="str">
        <f>IF(B9=B13,IF(C9=C13,"Check Total OK","Check Total Error"),"Check Total Error")</f>
        <v>Check Total OK</v>
      </c>
      <c r="B13" s="231">
        <f>SUM(B10:B12)</f>
        <v>215854.12</v>
      </c>
      <c r="C13" s="231">
        <f>SUM(C10:C12)</f>
        <v>110401.83</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71290.899999999994</v>
      </c>
      <c r="C18" s="229">
        <f>'DOE25'!G199+'DOE25'!G217+'DOE25'!G235+'DOE25'!G278+'DOE25'!G297+'DOE25'!G316</f>
        <v>42320.97</v>
      </c>
    </row>
    <row r="19" spans="1:3" x14ac:dyDescent="0.2">
      <c r="A19" t="s">
        <v>775</v>
      </c>
      <c r="B19" s="240">
        <v>50984</v>
      </c>
      <c r="C19" s="240">
        <v>33918.35</v>
      </c>
    </row>
    <row r="20" spans="1:3" x14ac:dyDescent="0.2">
      <c r="A20" t="s">
        <v>776</v>
      </c>
      <c r="B20" s="240">
        <v>15646.9</v>
      </c>
      <c r="C20" s="240">
        <v>7717.73</v>
      </c>
    </row>
    <row r="21" spans="1:3" x14ac:dyDescent="0.2">
      <c r="A21" t="s">
        <v>777</v>
      </c>
      <c r="B21" s="240">
        <v>4660</v>
      </c>
      <c r="C21" s="240">
        <v>684.89</v>
      </c>
    </row>
    <row r="22" spans="1:3" x14ac:dyDescent="0.2">
      <c r="A22" t="str">
        <f>IF(B18=B22,IF(C18=C22,"Check Total OK","Check Total Error"),"Check Total Error")</f>
        <v>Check Total OK</v>
      </c>
      <c r="B22" s="231">
        <f>SUM(B19:B21)</f>
        <v>71290.899999999994</v>
      </c>
      <c r="C22" s="231">
        <f>SUM(C19:C21)</f>
        <v>42320.97</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8905</v>
      </c>
      <c r="C36" s="235">
        <f>'DOE25'!G201+'DOE25'!G219+'DOE25'!G237+'DOE25'!G280+'DOE25'!G299+'DOE25'!G318</f>
        <v>2331.63</v>
      </c>
    </row>
    <row r="37" spans="1:3" x14ac:dyDescent="0.2">
      <c r="A37" t="s">
        <v>775</v>
      </c>
      <c r="B37" s="240">
        <v>8905</v>
      </c>
      <c r="C37" s="240">
        <v>2331.63</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8905</v>
      </c>
      <c r="C40" s="231">
        <f>SUM(C37:C39)</f>
        <v>2331.63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E10" sqref="E1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WATERVILLE VALLEY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558542.03</v>
      </c>
      <c r="D5" s="20">
        <f>SUM('DOE25'!L198:L201)+SUM('DOE25'!L216:L219)+SUM('DOE25'!L234:L237)-F5-G5-H5</f>
        <v>553377.05000000005</v>
      </c>
      <c r="E5" s="243"/>
      <c r="F5" s="244"/>
      <c r="G5" s="53">
        <f>SUM('DOE25'!J198:J201)+SUM('DOE25'!J216:J219)+SUM('DOE25'!J234:J237)</f>
        <v>2052.98</v>
      </c>
      <c r="H5" s="53">
        <f>SUM('DOE25'!K198:K201)+SUM('DOE25'!K216:K219)+SUM('DOE25'!K234:K237)</f>
        <v>3112</v>
      </c>
      <c r="I5" s="256"/>
    </row>
    <row r="6" spans="1:9" x14ac:dyDescent="0.2">
      <c r="A6" s="32">
        <v>2100</v>
      </c>
      <c r="B6" t="s">
        <v>796</v>
      </c>
      <c r="C6" s="276">
        <f t="shared" si="0"/>
        <v>28480.42</v>
      </c>
      <c r="D6" s="20">
        <f>'DOE25'!L203+'DOE25'!L221+'DOE25'!L239-F6-G6-H6</f>
        <v>28181.42</v>
      </c>
      <c r="E6" s="243"/>
      <c r="F6" s="244"/>
      <c r="G6" s="53">
        <f>'DOE25'!J203+'DOE25'!J221+'DOE25'!J239</f>
        <v>0</v>
      </c>
      <c r="H6" s="53">
        <f>'DOE25'!K203+'DOE25'!K221+'DOE25'!K239</f>
        <v>299</v>
      </c>
      <c r="I6" s="256"/>
    </row>
    <row r="7" spans="1:9" x14ac:dyDescent="0.2">
      <c r="A7" s="32">
        <v>2200</v>
      </c>
      <c r="B7" t="s">
        <v>821</v>
      </c>
      <c r="C7" s="276">
        <f t="shared" si="0"/>
        <v>36132.65</v>
      </c>
      <c r="D7" s="20">
        <f>'DOE25'!L204+'DOE25'!L222+'DOE25'!L240-F7-G7-H7</f>
        <v>31693.65</v>
      </c>
      <c r="E7" s="243"/>
      <c r="F7" s="244"/>
      <c r="G7" s="53">
        <f>'DOE25'!J204+'DOE25'!J222+'DOE25'!J240</f>
        <v>4439</v>
      </c>
      <c r="H7" s="53">
        <f>'DOE25'!K204+'DOE25'!K222+'DOE25'!K240</f>
        <v>0</v>
      </c>
      <c r="I7" s="256"/>
    </row>
    <row r="8" spans="1:9" x14ac:dyDescent="0.2">
      <c r="A8" s="32">
        <v>2300</v>
      </c>
      <c r="B8" t="s">
        <v>797</v>
      </c>
      <c r="C8" s="276">
        <f t="shared" si="0"/>
        <v>47409.670000000006</v>
      </c>
      <c r="D8" s="243"/>
      <c r="E8" s="20">
        <f>'DOE25'!L205+'DOE25'!L223+'DOE25'!L241-F8-G8-H8-D9-D11</f>
        <v>45579.91</v>
      </c>
      <c r="F8" s="244"/>
      <c r="G8" s="53">
        <f>'DOE25'!J205+'DOE25'!J223+'DOE25'!J241</f>
        <v>0</v>
      </c>
      <c r="H8" s="53">
        <f>'DOE25'!K205+'DOE25'!K223+'DOE25'!K241</f>
        <v>1829.76</v>
      </c>
      <c r="I8" s="256"/>
    </row>
    <row r="9" spans="1:9" ht="14.25" x14ac:dyDescent="0.2">
      <c r="A9" s="32">
        <v>2310</v>
      </c>
      <c r="B9" s="185" t="s">
        <v>890</v>
      </c>
      <c r="C9" s="276">
        <f t="shared" si="0"/>
        <v>11005.48</v>
      </c>
      <c r="D9" s="244">
        <v>11005.48</v>
      </c>
      <c r="E9" s="243"/>
      <c r="F9" s="253"/>
      <c r="G9" s="253"/>
      <c r="H9" s="253"/>
      <c r="I9" s="256"/>
    </row>
    <row r="10" spans="1:9" ht="14.25" x14ac:dyDescent="0.2">
      <c r="A10" s="32">
        <v>2317</v>
      </c>
      <c r="B10" s="185" t="s">
        <v>891</v>
      </c>
      <c r="C10" s="276">
        <f t="shared" si="0"/>
        <v>5800</v>
      </c>
      <c r="D10" s="243"/>
      <c r="E10" s="244">
        <v>5800</v>
      </c>
      <c r="F10" s="253"/>
      <c r="G10" s="253"/>
      <c r="H10" s="253"/>
      <c r="I10" s="256"/>
    </row>
    <row r="11" spans="1:9" ht="14.25" x14ac:dyDescent="0.2">
      <c r="A11" s="32">
        <v>2321</v>
      </c>
      <c r="B11" s="185" t="s">
        <v>892</v>
      </c>
      <c r="C11" s="276">
        <f t="shared" si="0"/>
        <v>39779.33</v>
      </c>
      <c r="D11" s="244">
        <v>39779.33</v>
      </c>
      <c r="E11" s="243"/>
      <c r="F11" s="253"/>
      <c r="G11" s="253"/>
      <c r="H11" s="253"/>
      <c r="I11" s="256"/>
    </row>
    <row r="12" spans="1:9" x14ac:dyDescent="0.2">
      <c r="A12" s="32">
        <v>2400</v>
      </c>
      <c r="B12" t="s">
        <v>711</v>
      </c>
      <c r="C12" s="276">
        <f t="shared" si="0"/>
        <v>172755.53</v>
      </c>
      <c r="D12" s="20">
        <f>'DOE25'!L206+'DOE25'!L224+'DOE25'!L242-F12-G12-H12</f>
        <v>166746.47</v>
      </c>
      <c r="E12" s="243"/>
      <c r="F12" s="244"/>
      <c r="G12" s="53">
        <f>'DOE25'!J206+'DOE25'!J224+'DOE25'!J242</f>
        <v>0</v>
      </c>
      <c r="H12" s="53">
        <f>'DOE25'!K206+'DOE25'!K224+'DOE25'!K242</f>
        <v>6009.06</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180438.21</v>
      </c>
      <c r="D14" s="20">
        <f>'DOE25'!L208+'DOE25'!L226+'DOE25'!L244-F14-G14-H14</f>
        <v>159969.79999999999</v>
      </c>
      <c r="E14" s="243"/>
      <c r="F14" s="244"/>
      <c r="G14" s="53">
        <f>'DOE25'!J208+'DOE25'!J226+'DOE25'!J244</f>
        <v>20468.41</v>
      </c>
      <c r="H14" s="53">
        <f>'DOE25'!K208+'DOE25'!K226+'DOE25'!K244</f>
        <v>0</v>
      </c>
      <c r="I14" s="256"/>
    </row>
    <row r="15" spans="1:9" x14ac:dyDescent="0.2">
      <c r="A15" s="32">
        <v>2700</v>
      </c>
      <c r="B15" t="s">
        <v>799</v>
      </c>
      <c r="C15" s="276">
        <f t="shared" si="0"/>
        <v>1016.56</v>
      </c>
      <c r="D15" s="20">
        <f>'DOE25'!L209+'DOE25'!L227+'DOE25'!L245-F15-G15-H15</f>
        <v>1016.56</v>
      </c>
      <c r="E15" s="243"/>
      <c r="F15" s="244"/>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65710.38</v>
      </c>
      <c r="D22" s="243"/>
      <c r="E22" s="243"/>
      <c r="F22" s="243"/>
      <c r="G22" s="53">
        <f>'DOE25'!L256+'DOE25'!L337</f>
        <v>65710.38</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'DOE25'!L359+'DOE25'!L360+'DOE25'!L361-'DOE25'!I368-F29-G29-H29</f>
        <v>0</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25658.969999999998</v>
      </c>
      <c r="D31" s="20">
        <f>'DOE25'!L291+'DOE25'!L310+'DOE25'!L329+'DOE25'!L334+'DOE25'!L335+'DOE25'!L336-F31-G31-H31</f>
        <v>24350.35</v>
      </c>
      <c r="E31" s="243"/>
      <c r="F31" s="244"/>
      <c r="G31" s="53">
        <f>'DOE25'!J291+'DOE25'!J310+'DOE25'!J329+'DOE25'!J334+'DOE25'!J335+'DOE25'!J336</f>
        <v>0</v>
      </c>
      <c r="H31" s="53">
        <f>'DOE25'!K291+'DOE25'!K310+'DOE25'!K329+'DOE25'!K334+'DOE25'!K335+'DOE25'!K336</f>
        <v>1308.6199999999999</v>
      </c>
      <c r="I31" s="256"/>
    </row>
    <row r="32" spans="1:9" ht="12" thickBot="1" x14ac:dyDescent="0.25">
      <c r="C32" s="277"/>
      <c r="G32" s="251"/>
      <c r="H32" s="251"/>
      <c r="I32" s="258"/>
    </row>
    <row r="33" spans="1:9" ht="12" thickTop="1" x14ac:dyDescent="0.2">
      <c r="B33" t="s">
        <v>809</v>
      </c>
      <c r="D33" s="245">
        <f t="shared" ref="D33:I33" si="1">SUM(D5:D31)</f>
        <v>1016120.11</v>
      </c>
      <c r="E33" s="245">
        <f t="shared" si="1"/>
        <v>51379.91</v>
      </c>
      <c r="F33" s="245">
        <f t="shared" si="1"/>
        <v>0</v>
      </c>
      <c r="G33" s="245">
        <f t="shared" si="1"/>
        <v>92670.77</v>
      </c>
      <c r="H33" s="245">
        <f t="shared" si="1"/>
        <v>12558.439999999999</v>
      </c>
      <c r="I33" s="245">
        <f t="shared" si="1"/>
        <v>0</v>
      </c>
    </row>
    <row r="35" spans="1:9" ht="12" thickBot="1" x14ac:dyDescent="0.25">
      <c r="B35" s="251" t="s">
        <v>831</v>
      </c>
      <c r="D35" s="252">
        <f>E33</f>
        <v>51379.91</v>
      </c>
      <c r="E35" s="248"/>
    </row>
    <row r="36" spans="1:9" ht="12" thickTop="1" x14ac:dyDescent="0.2">
      <c r="B36" t="s">
        <v>810</v>
      </c>
      <c r="D36" s="20">
        <f>D33</f>
        <v>1016120.11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25" sqref="D2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WATERVILLE VALLEY SCHOOL DISTRICT</v>
      </c>
      <c r="B2" s="126">
        <f>'DOE25'!B2</f>
        <v>553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1017163.65</v>
      </c>
      <c r="G4" s="303">
        <f>'DOE25'!L212+'DOE25'!L291</f>
        <v>1017163.65</v>
      </c>
      <c r="H4" s="337">
        <f>F4-G4</f>
        <v>0</v>
      </c>
      <c r="I4" s="309" t="str">
        <f>IF(H4=0,"","Does not match DOE25 page 7 and 11 Totals!!")</f>
        <v/>
      </c>
      <c r="N4"/>
    </row>
    <row r="5" spans="1:18" x14ac:dyDescent="0.2">
      <c r="A5" s="21" t="s">
        <v>1466</v>
      </c>
      <c r="B5" s="304">
        <f>IFERROR(VLOOKUP(A5,'School Tables'!$C$3:$D$365,2,FALSE),"")</f>
        <v>22385</v>
      </c>
      <c r="C5" s="297" t="str">
        <f>IFERROR(INDEX('School Tables'!$B$3:$B$365,MATCH('School Level Expenditures'!B5,'School Tables'!$D$3:$D$365,0)),"")</f>
        <v>Waterville Valley</v>
      </c>
      <c r="D5" s="294">
        <v>991504.68</v>
      </c>
      <c r="E5" s="294">
        <v>25658.97</v>
      </c>
      <c r="F5" s="312">
        <f>D5+E5</f>
        <v>1017163.65</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84055.2</v>
      </c>
      <c r="G36" s="303">
        <f>'DOE25'!L248+'DOE25'!L329</f>
        <v>84055.200000000012</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84055.2</v>
      </c>
      <c r="E37" s="294">
        <v>0</v>
      </c>
      <c r="F37" s="307">
        <f>D37+E37</f>
        <v>84055.2</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54"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WATERVILLE VALLEY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232151.3</v>
      </c>
      <c r="D8" s="95">
        <f>'DOE25'!G9</f>
        <v>170.46</v>
      </c>
      <c r="E8" s="95">
        <f>'DOE25'!H9</f>
        <v>-5.05</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'DOE25'!F17</f>
        <v>2444.87</v>
      </c>
      <c r="D15" s="95">
        <f>'DOE25'!G17</f>
        <v>0</v>
      </c>
      <c r="E15" s="95">
        <f>'DOE25'!H17</f>
        <v>0</v>
      </c>
      <c r="F15" s="95">
        <f>'DOE25'!I17</f>
        <v>0</v>
      </c>
      <c r="G15" s="24" t="s">
        <v>288</v>
      </c>
      <c r="H15" s="124"/>
      <c r="I15" s="124"/>
    </row>
    <row r="16" spans="1:9" x14ac:dyDescent="0.2">
      <c r="A16" s="1" t="s">
        <v>147</v>
      </c>
      <c r="B16" s="6">
        <v>180</v>
      </c>
      <c r="C16" s="95" t="e">
        <f>'DOE25'!#REF!</f>
        <v>#REF!</v>
      </c>
      <c r="D16" s="95" t="e">
        <f>'DOE25'!#REF!</f>
        <v>#REF!</v>
      </c>
      <c r="E16" s="95" t="e">
        <f>'DOE25'!#REF!</f>
        <v>#REF!</v>
      </c>
      <c r="F16" s="95" t="e">
        <f>'DOE25'!#REF!</f>
        <v>#REF!</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t="e">
        <f>SUM(C8:C17)</f>
        <v>#REF!</v>
      </c>
      <c r="D18" s="41" t="e">
        <f>SUM(D8:D17)</f>
        <v>#REF!</v>
      </c>
      <c r="E18" s="41" t="e">
        <f>SUM(E8:E17)</f>
        <v>#REF!</v>
      </c>
      <c r="F18" s="41" t="e">
        <f>SUM(F8:F17)</f>
        <v>#REF!</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14497.05</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12888.96</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27386.01</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65114.28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170.46</v>
      </c>
      <c r="E47" s="95">
        <f>'DOE25'!H48</f>
        <v>-5.05</v>
      </c>
      <c r="F47" s="95">
        <f>'DOE25'!I48</f>
        <v>0</v>
      </c>
      <c r="G47" s="95">
        <f>'DOE25'!J48</f>
        <v>0</v>
      </c>
      <c r="H47" s="124"/>
      <c r="I47" s="124"/>
    </row>
    <row r="48" spans="1:9" x14ac:dyDescent="0.2">
      <c r="A48" s="1" t="s">
        <v>882</v>
      </c>
      <c r="B48" s="6">
        <v>753</v>
      </c>
      <c r="C48" s="95">
        <f>'DOE25'!F49</f>
        <v>142095.88</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207210.16</v>
      </c>
      <c r="D50" s="41">
        <f>SUM(D34:D49)</f>
        <v>170.46</v>
      </c>
      <c r="E50" s="41">
        <f>SUM(E34:E49)</f>
        <v>-5.05</v>
      </c>
      <c r="F50" s="41">
        <f>SUM(F34:F49)</f>
        <v>0</v>
      </c>
      <c r="G50" s="41">
        <f>SUM(G34:G49)</f>
        <v>0</v>
      </c>
      <c r="H50" s="124"/>
      <c r="I50" s="124"/>
    </row>
    <row r="51" spans="1:9" ht="12" thickTop="1" x14ac:dyDescent="0.2">
      <c r="A51" s="38" t="s">
        <v>885</v>
      </c>
      <c r="B51" s="2"/>
      <c r="C51" s="41">
        <f>C50+C31</f>
        <v>234596.17</v>
      </c>
      <c r="D51" s="41">
        <f>D50+D31</f>
        <v>170.46</v>
      </c>
      <c r="E51" s="41">
        <f>E50+E31</f>
        <v>-5.05</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477258</v>
      </c>
      <c r="D56" s="95">
        <f>'DOE25'!G60</f>
        <v>0</v>
      </c>
      <c r="E56" s="95">
        <f>'DOE25'!H60</f>
        <v>0</v>
      </c>
      <c r="F56" s="95">
        <f>'DOE25'!I60</f>
        <v>0</v>
      </c>
      <c r="G56" s="95">
        <f>'DOE25'!J60</f>
        <v>0</v>
      </c>
      <c r="H56"/>
      <c r="I56"/>
    </row>
    <row r="57" spans="1:9" x14ac:dyDescent="0.2">
      <c r="A57" s="1" t="s">
        <v>164</v>
      </c>
      <c r="B57" s="6" t="s">
        <v>165</v>
      </c>
      <c r="C57" s="95">
        <f>'DOE25'!F79</f>
        <v>12362.63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22.01</v>
      </c>
      <c r="D59" s="95">
        <f>'DOE25'!G96</f>
        <v>0</v>
      </c>
      <c r="E59" s="95">
        <f>'DOE25'!H96</f>
        <v>0</v>
      </c>
      <c r="F59" s="95">
        <f>'DOE25'!I96</f>
        <v>0</v>
      </c>
      <c r="G59" s="95">
        <f>'DOE25'!J96</f>
        <v>0</v>
      </c>
      <c r="H59"/>
      <c r="I59"/>
    </row>
    <row r="60" spans="1:9" x14ac:dyDescent="0.2">
      <c r="A60" s="1" t="s">
        <v>170</v>
      </c>
      <c r="B60" s="118" t="s">
        <v>171</v>
      </c>
      <c r="C60" s="24" t="s">
        <v>288</v>
      </c>
      <c r="D60" s="95">
        <f>'DOE25'!G97</f>
        <v>280.2</v>
      </c>
      <c r="E60" s="24" t="s">
        <v>288</v>
      </c>
      <c r="F60" s="24" t="s">
        <v>288</v>
      </c>
      <c r="G60" s="24" t="s">
        <v>288</v>
      </c>
      <c r="H60"/>
      <c r="I60"/>
    </row>
    <row r="61" spans="1:9" ht="12" thickBot="1" x14ac:dyDescent="0.25">
      <c r="A61" s="1" t="s">
        <v>172</v>
      </c>
      <c r="B61" s="118" t="s">
        <v>173</v>
      </c>
      <c r="C61" s="95">
        <f>SUM('DOE25'!F98:F110)</f>
        <v>3809.9</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16194.539999999999</v>
      </c>
      <c r="D62" s="130">
        <f>SUM(D57:D61)</f>
        <v>280.2</v>
      </c>
      <c r="E62" s="130">
        <f>SUM(E57:E61)</f>
        <v>0</v>
      </c>
      <c r="F62" s="130">
        <f>SUM(F57:F61)</f>
        <v>0</v>
      </c>
      <c r="G62" s="130">
        <f>SUM(G57:G61)</f>
        <v>0</v>
      </c>
      <c r="H62"/>
      <c r="I62"/>
    </row>
    <row r="63" spans="1:9" ht="12" thickTop="1" x14ac:dyDescent="0.2">
      <c r="A63" s="29" t="s">
        <v>175</v>
      </c>
      <c r="B63" s="6"/>
      <c r="C63" s="22">
        <f>C56+C62</f>
        <v>493452.54</v>
      </c>
      <c r="D63" s="22">
        <f>D56+D62</f>
        <v>280.2</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675266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675266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440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440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675706</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0</v>
      </c>
      <c r="E88" s="341">
        <f>SUM('DOE25'!H153:H162)</f>
        <v>25653.919999999998</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19977.13</v>
      </c>
      <c r="D90" s="24" t="s">
        <v>288</v>
      </c>
      <c r="E90" s="24" t="s">
        <v>288</v>
      </c>
      <c r="F90" s="24" t="s">
        <v>288</v>
      </c>
      <c r="G90" s="24" t="s">
        <v>288</v>
      </c>
    </row>
    <row r="91" spans="1:9" ht="12.75" thickTop="1" thickBot="1" x14ac:dyDescent="0.25">
      <c r="A91" s="33" t="s">
        <v>750</v>
      </c>
      <c r="C91" s="131">
        <f>SUM(C85:C90)</f>
        <v>19977.13</v>
      </c>
      <c r="D91" s="131">
        <f>SUM(D85:D90)</f>
        <v>0</v>
      </c>
      <c r="E91" s="131">
        <f>SUM(E85:E90)</f>
        <v>25653.919999999998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100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100</v>
      </c>
      <c r="E103" s="86">
        <f>SUM(E93:E102)</f>
        <v>0</v>
      </c>
      <c r="F103" s="86">
        <f>SUM(F93:F102)</f>
        <v>0</v>
      </c>
      <c r="G103" s="86">
        <f>SUM(G93:G102)</f>
        <v>0</v>
      </c>
    </row>
    <row r="104" spans="1:7" ht="12.75" thickTop="1" thickBot="1" x14ac:dyDescent="0.25">
      <c r="A104" s="33" t="s">
        <v>761</v>
      </c>
      <c r="C104" s="86">
        <f>C63+C81+C91+C103</f>
        <v>1189135.67</v>
      </c>
      <c r="D104" s="86">
        <f>D63+D81+D91+D103</f>
        <v>380.2</v>
      </c>
      <c r="E104" s="86">
        <f>E63+E81+E91+E103</f>
        <v>25653.919999999998</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401520.19000000006</v>
      </c>
      <c r="D109" s="24" t="s">
        <v>288</v>
      </c>
      <c r="E109" s="95">
        <f>('DOE25'!L277)+('DOE25'!L296)+('DOE25'!L315)</f>
        <v>0</v>
      </c>
      <c r="F109" s="24" t="s">
        <v>288</v>
      </c>
      <c r="G109" s="24" t="s">
        <v>288</v>
      </c>
    </row>
    <row r="110" spans="1:7" x14ac:dyDescent="0.2">
      <c r="A110" t="s">
        <v>198</v>
      </c>
      <c r="B110" s="32" t="s">
        <v>199</v>
      </c>
      <c r="C110" s="95">
        <f>('DOE25'!L199)+('DOE25'!L217)+('DOE25'!L235)</f>
        <v>150464.25</v>
      </c>
      <c r="D110" s="24" t="s">
        <v>288</v>
      </c>
      <c r="E110" s="95">
        <f>('DOE25'!L278)+('DOE25'!L297)+('DOE25'!L316)</f>
        <v>2883</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6557.5899999999992</v>
      </c>
      <c r="D112" s="24" t="s">
        <v>288</v>
      </c>
      <c r="E112" s="95">
        <f>+('DOE25'!L280)+('DOE25'!L299)+('DOE25'!L318)</f>
        <v>10575.16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558542.03</v>
      </c>
      <c r="D115" s="86">
        <f>SUM(D109:D114)</f>
        <v>0</v>
      </c>
      <c r="E115" s="86">
        <f>SUM(E109:E114)</f>
        <v>13458.16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28480.42</v>
      </c>
      <c r="D118" s="24" t="s">
        <v>288</v>
      </c>
      <c r="E118" s="95">
        <f>+('DOE25'!L282)+('DOE25'!L301)+('DOE25'!L320)</f>
        <v>0</v>
      </c>
      <c r="F118" s="24" t="s">
        <v>288</v>
      </c>
      <c r="G118" s="24" t="s">
        <v>288</v>
      </c>
    </row>
    <row r="119" spans="1:7" x14ac:dyDescent="0.2">
      <c r="A119" t="s">
        <v>208</v>
      </c>
      <c r="B119" s="32" t="s">
        <v>209</v>
      </c>
      <c r="C119" s="95">
        <f>('DOE25'!L204)+('DOE25'!L222)+('DOE25'!L240)</f>
        <v>36132.65</v>
      </c>
      <c r="D119" s="24" t="s">
        <v>288</v>
      </c>
      <c r="E119" s="95">
        <f>+('DOE25'!L283)+('DOE25'!L302)+('DOE25'!L321)</f>
        <v>11297.19</v>
      </c>
      <c r="F119" s="24" t="s">
        <v>288</v>
      </c>
      <c r="G119" s="24" t="s">
        <v>288</v>
      </c>
    </row>
    <row r="120" spans="1:7" x14ac:dyDescent="0.2">
      <c r="A120" t="s">
        <v>210</v>
      </c>
      <c r="B120" s="32" t="s">
        <v>211</v>
      </c>
      <c r="C120" s="95">
        <f>('DOE25'!L205)+('DOE25'!L223)+('DOE25'!L241)</f>
        <v>98194.48</v>
      </c>
      <c r="D120" s="24" t="s">
        <v>288</v>
      </c>
      <c r="E120" s="95">
        <f>+('DOE25'!L284)+('DOE25'!L303)+('DOE25'!L322)</f>
        <v>38.06</v>
      </c>
      <c r="F120" s="24" t="s">
        <v>288</v>
      </c>
      <c r="G120" s="24" t="s">
        <v>288</v>
      </c>
    </row>
    <row r="121" spans="1:7" x14ac:dyDescent="0.2">
      <c r="A121" t="s">
        <v>212</v>
      </c>
      <c r="B121" s="32" t="s">
        <v>213</v>
      </c>
      <c r="C121" s="95">
        <f>('DOE25'!L206)+('DOE25'!L224)+('DOE25'!L242)</f>
        <v>172755.53</v>
      </c>
      <c r="D121" s="24" t="s">
        <v>288</v>
      </c>
      <c r="E121" s="95">
        <f>+('DOE25'!L285)+('DOE25'!L304)+('DOE25'!L323)</f>
        <v>301.94</v>
      </c>
      <c r="F121" s="24" t="s">
        <v>288</v>
      </c>
      <c r="G121" s="24" t="s">
        <v>288</v>
      </c>
    </row>
    <row r="122" spans="1:7" x14ac:dyDescent="0.2">
      <c r="A122" t="s">
        <v>214</v>
      </c>
      <c r="B122" s="32" t="s">
        <v>215</v>
      </c>
      <c r="C122" s="95">
        <f>('DOE25'!L207)+('DOE25'!L225)+('DOE25'!L243)</f>
        <v>0</v>
      </c>
      <c r="D122" s="24" t="s">
        <v>288</v>
      </c>
      <c r="E122" s="95">
        <f>+('DOE25'!L286)+('DOE25'!L305)+('DOE25'!L324)</f>
        <v>563.62</v>
      </c>
      <c r="F122" s="24" t="s">
        <v>288</v>
      </c>
      <c r="G122" s="24" t="s">
        <v>288</v>
      </c>
    </row>
    <row r="123" spans="1:7" x14ac:dyDescent="0.2">
      <c r="A123" t="s">
        <v>216</v>
      </c>
      <c r="B123" s="32" t="s">
        <v>217</v>
      </c>
      <c r="C123" s="95">
        <f>('DOE25'!L208)+('DOE25'!L226)+('DOE25'!L244)</f>
        <v>180438.21</v>
      </c>
      <c r="D123" s="24" t="s">
        <v>288</v>
      </c>
      <c r="E123" s="95">
        <f>+('DOE25'!L287)+('DOE25'!L306)+('DOE25'!L325)</f>
        <v>0</v>
      </c>
      <c r="F123" s="24" t="s">
        <v>288</v>
      </c>
      <c r="G123" s="24" t="s">
        <v>288</v>
      </c>
    </row>
    <row r="124" spans="1:7" x14ac:dyDescent="0.2">
      <c r="A124" t="s">
        <v>218</v>
      </c>
      <c r="B124" s="32" t="s">
        <v>219</v>
      </c>
      <c r="C124" s="95">
        <f>('DOE25'!L209)+('DOE25'!L227)+('DOE25'!L245+'DOE25'!L255)</f>
        <v>1016.56</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289.55</v>
      </c>
      <c r="E127" s="24" t="s">
        <v>288</v>
      </c>
      <c r="F127" s="24" t="s">
        <v>288</v>
      </c>
      <c r="G127" s="24" t="s">
        <v>288</v>
      </c>
    </row>
    <row r="128" spans="1:7" ht="12.75" thickTop="1" thickBot="1" x14ac:dyDescent="0.25">
      <c r="A128" s="33" t="s">
        <v>226</v>
      </c>
      <c r="C128" s="86">
        <f>SUM(C118:C127)</f>
        <v>517017.84999999992</v>
      </c>
      <c r="D128" s="86">
        <f>SUM(D118:D127)</f>
        <v>289.55</v>
      </c>
      <c r="E128" s="86">
        <f>SUM(E118:E127)</f>
        <v>12200.810000000001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65710.38</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65810.38</v>
      </c>
      <c r="D144" s="141">
        <f>SUM(D130:D143)</f>
        <v>0</v>
      </c>
      <c r="E144" s="141">
        <f>SUM(E130:E143)</f>
        <v>0</v>
      </c>
      <c r="F144" s="141">
        <f>SUM(F130:F143)</f>
        <v>0</v>
      </c>
      <c r="G144" s="141">
        <f>SUM(G130:G143)</f>
        <v>0</v>
      </c>
    </row>
    <row r="145" spans="1:9" ht="12.75" thickTop="1" thickBot="1" x14ac:dyDescent="0.25">
      <c r="A145" s="33" t="s">
        <v>244</v>
      </c>
      <c r="C145" s="86">
        <f>(C115+C128+C144)</f>
        <v>1141370.2599999998</v>
      </c>
      <c r="D145" s="86">
        <f>(D115+D128+D144)</f>
        <v>289.55</v>
      </c>
      <c r="E145" s="86">
        <f>(E115+E128+E144)</f>
        <v>25658.97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G38" sqref="G3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WATERVILLE VALLEY SCHOOL DISTRICT</v>
      </c>
    </row>
    <row r="3" spans="1:4" x14ac:dyDescent="0.2">
      <c r="B3" s="188" t="s">
        <v>1587</v>
      </c>
    </row>
    <row r="4" spans="1:4" x14ac:dyDescent="0.2">
      <c r="B4" t="s">
        <v>61</v>
      </c>
      <c r="C4" s="179">
        <f>IF('DOE25'!F666+'DOE25'!F671=0,0,ROUND('DOE25'!F673,0))</f>
        <v>57058</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57058</v>
      </c>
    </row>
    <row r="9" spans="1:4" x14ac:dyDescent="0.2">
      <c r="A9" s="187" t="s">
        <v>94</v>
      </c>
      <c r="B9" s="188" t="s">
        <v>1588</v>
      </c>
      <c r="C9" s="181" t="s">
        <v>720</v>
      </c>
      <c r="D9" s="181" t="s">
        <v>721</v>
      </c>
    </row>
    <row r="10" spans="1:4" x14ac:dyDescent="0.2">
      <c r="A10">
        <v>1100</v>
      </c>
      <c r="B10" t="s">
        <v>702</v>
      </c>
      <c r="C10" s="179">
        <f>ROUND('DOE25'!L198+'DOE25'!L216+'DOE25'!L234+'DOE25'!L277+'DOE25'!L296+'DOE25'!L315,0)</f>
        <v>401520</v>
      </c>
      <c r="D10" s="182">
        <f>ROUND((C10/$C$28)*100,1)</f>
        <v>36.5</v>
      </c>
    </row>
    <row r="11" spans="1:4" x14ac:dyDescent="0.2">
      <c r="A11">
        <v>1200</v>
      </c>
      <c r="B11" t="s">
        <v>703</v>
      </c>
      <c r="C11" s="179">
        <f>ROUND('DOE25'!L199+'DOE25'!L217+'DOE25'!L235+'DOE25'!L278+'DOE25'!L297+'DOE25'!L316,0)</f>
        <v>153347</v>
      </c>
      <c r="D11" s="182">
        <f>ROUND((C11/$C$28)*100,1)</f>
        <v>13.9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17133</v>
      </c>
      <c r="D13" s="182">
        <f>ROUND((C13/$C$28)*100,1)</f>
        <v>1.6</v>
      </c>
    </row>
    <row r="14" spans="1:4" x14ac:dyDescent="0.2">
      <c r="D14" s="182"/>
    </row>
    <row r="15" spans="1:4" x14ac:dyDescent="0.2">
      <c r="A15">
        <v>2100</v>
      </c>
      <c r="B15" t="s">
        <v>706</v>
      </c>
      <c r="C15" s="179">
        <f>ROUND('DOE25'!L203+'DOE25'!L221+'DOE25'!L239+'DOE25'!L282+'DOE25'!L301+'DOE25'!L320,0)</f>
        <v>28480</v>
      </c>
      <c r="D15" s="182">
        <f t="shared" ref="D15:D27" si="0">ROUND((C15/$C$28)*100,1)</f>
        <v>2.6</v>
      </c>
    </row>
    <row r="16" spans="1:4" x14ac:dyDescent="0.2">
      <c r="A16">
        <v>2200</v>
      </c>
      <c r="B16" t="s">
        <v>707</v>
      </c>
      <c r="C16" s="179">
        <f>ROUND('DOE25'!L204+'DOE25'!L222+'DOE25'!L240+'DOE25'!L283+'DOE25'!L302+'DOE25'!L321,0)</f>
        <v>47430</v>
      </c>
      <c r="D16" s="182">
        <f t="shared" si="0"/>
        <v>4.3</v>
      </c>
    </row>
    <row r="17" spans="1:4" x14ac:dyDescent="0.2">
      <c r="A17" s="183" t="s">
        <v>723</v>
      </c>
      <c r="B17" t="s">
        <v>738</v>
      </c>
      <c r="C17" s="179">
        <f>ROUND('DOE25'!L205+'DOE25'!L210+'DOE25'!L223+'DOE25'!L228+'DOE25'!L241+'DOE25'!L246+'DOE25'!L284+'DOE25'!L289+'DOE25'!L303+'DOE25'!L308+'DOE25'!L322+'DOE25'!L327,0)</f>
        <v>98233</v>
      </c>
      <c r="D17" s="182">
        <f t="shared" si="0"/>
        <v>8.9</v>
      </c>
    </row>
    <row r="18" spans="1:4" x14ac:dyDescent="0.2">
      <c r="A18">
        <v>2400</v>
      </c>
      <c r="B18" t="s">
        <v>711</v>
      </c>
      <c r="C18" s="179">
        <f>ROUND('DOE25'!L206+'DOE25'!L224+'DOE25'!L242+'DOE25'!L285+'DOE25'!L304+'DOE25'!L323,0)</f>
        <v>173057</v>
      </c>
      <c r="D18" s="182">
        <f t="shared" si="0"/>
        <v>15.7</v>
      </c>
    </row>
    <row r="19" spans="1:4" x14ac:dyDescent="0.2">
      <c r="A19">
        <v>2500</v>
      </c>
      <c r="B19" t="s">
        <v>708</v>
      </c>
      <c r="C19" s="179">
        <f>ROUND('DOE25'!L207+'DOE25'!L225+'DOE25'!L243+'DOE25'!L286+'DOE25'!L305+'DOE25'!L324,0)</f>
        <v>564</v>
      </c>
      <c r="D19" s="182">
        <f t="shared" si="0"/>
        <v>0.1</v>
      </c>
    </row>
    <row r="20" spans="1:4" x14ac:dyDescent="0.2">
      <c r="A20">
        <v>2600</v>
      </c>
      <c r="B20" t="s">
        <v>709</v>
      </c>
      <c r="C20" s="179">
        <f>ROUND('DOE25'!L208+'DOE25'!L226+'DOE25'!L244+'DOE25'!L287+'DOE25'!L306+'DOE25'!L325,0)</f>
        <v>180438</v>
      </c>
      <c r="D20" s="182">
        <f t="shared" si="0"/>
        <v>16.399999999999999</v>
      </c>
    </row>
    <row r="21" spans="1:4" x14ac:dyDescent="0.2">
      <c r="A21">
        <v>2700</v>
      </c>
      <c r="B21" t="s">
        <v>710</v>
      </c>
      <c r="C21" s="179">
        <f>ROUND('DOE25'!L209+'DOE25'!L227+'DOE25'!L245+'DOE25'!L288+'DOE25'!L307+'DOE25'!L326,0)</f>
        <v>1017</v>
      </c>
      <c r="D21" s="182">
        <f t="shared" si="0"/>
        <v>0.1</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9.8000000000000114</v>
      </c>
      <c r="D27" s="182">
        <f t="shared" si="0"/>
        <v>0</v>
      </c>
    </row>
    <row r="28" spans="1:4" x14ac:dyDescent="0.2">
      <c r="B28" s="187" t="s">
        <v>719</v>
      </c>
      <c r="C28" s="180">
        <f>SUM(C10:C27)</f>
        <v>1101228.8</v>
      </c>
      <c r="D28" s="184">
        <f>ROUND(SUM(D10:D27),0)</f>
        <v>100</v>
      </c>
    </row>
    <row r="29" spans="1:4" x14ac:dyDescent="0.2">
      <c r="A29">
        <v>4000</v>
      </c>
      <c r="B29" t="s">
        <v>724</v>
      </c>
      <c r="C29" s="179">
        <f>ROUND('DOE25'!L256+'DOE25'!L337+'DOE25'!L375+'DOE25'!L376+'DOE25'!L377+'DOE25'!L378+'DOE25'!L379+'DOE25'!L380+'DOE25'!L381,0)</f>
        <v>65710</v>
      </c>
    </row>
    <row r="30" spans="1:4" x14ac:dyDescent="0.2">
      <c r="B30" s="187" t="s">
        <v>725</v>
      </c>
      <c r="C30" s="180">
        <f>SUM(C28:C29)</f>
        <v>1166938.8</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477258</v>
      </c>
      <c r="D35" s="182">
        <f t="shared" ref="D35:D40" si="1">ROUND((C35/$C$41)*100,1)</f>
        <v>39.299999999999997</v>
      </c>
    </row>
    <row r="36" spans="1:4" x14ac:dyDescent="0.2">
      <c r="B36" s="185" t="s">
        <v>739</v>
      </c>
      <c r="C36" s="179">
        <f>SUM('DOE25'!F112:J112)-SUM('DOE25'!G97:G110)+('DOE25'!F175+'DOE25'!F176+'DOE25'!I175+'DOE25'!I176)-C35</f>
        <v>16194.539999999979</v>
      </c>
      <c r="D36" s="182">
        <f t="shared" si="1"/>
        <v>1.3</v>
      </c>
    </row>
    <row r="37" spans="1:4" x14ac:dyDescent="0.2">
      <c r="A37" s="183" t="s">
        <v>835</v>
      </c>
      <c r="B37" s="185" t="s">
        <v>728</v>
      </c>
      <c r="C37" s="179">
        <f>ROUND('DOE25'!F117+'DOE25'!F118,0)</f>
        <v>675266</v>
      </c>
      <c r="D37" s="182">
        <f t="shared" si="1"/>
        <v>55.6</v>
      </c>
    </row>
    <row r="38" spans="1:4" x14ac:dyDescent="0.2">
      <c r="A38" s="183" t="s">
        <v>734</v>
      </c>
      <c r="B38" s="185" t="s">
        <v>729</v>
      </c>
      <c r="C38" s="179">
        <f>ROUND(SUM('DOE25'!F140:J140)-SUM('DOE25'!F117:F119),0)</f>
        <v>440</v>
      </c>
      <c r="D38" s="182">
        <f t="shared" si="1"/>
        <v>0</v>
      </c>
    </row>
    <row r="39" spans="1:4" x14ac:dyDescent="0.2">
      <c r="A39">
        <v>4000</v>
      </c>
      <c r="B39" s="185" t="s">
        <v>730</v>
      </c>
      <c r="C39" s="179">
        <f>ROUND('DOE25'!F170+'DOE25'!G170+'DOE25'!H170+'DOE25'!I170,0)</f>
        <v>45631</v>
      </c>
      <c r="D39" s="182">
        <f t="shared" si="1"/>
        <v>3.8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1214789.54</v>
      </c>
      <c r="D41" s="184">
        <f>SUM(D35:D40)</f>
        <v>99.999999999999986</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2" sqref="C42:M42"/>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WATERVILLE VALLEY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2020-08-17T19:18:26Z</cp:lastPrinted>
  <dcterms:created xsi:type="dcterms:W3CDTF">1997-12-04T19:04:30Z</dcterms:created>
  <dcterms:modified xsi:type="dcterms:W3CDTF">2020-11-18T17:52:03Z</dcterms:modified>
</cp:coreProperties>
</file>