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E120" i="2" s="1"/>
  <c r="L323" i="1"/>
  <c r="L324" i="1"/>
  <c r="L325" i="1"/>
  <c r="L326" i="1"/>
  <c r="H663" i="1" s="1"/>
  <c r="L327" i="1"/>
  <c r="L334" i="1"/>
  <c r="L335" i="1"/>
  <c r="L336" i="1"/>
  <c r="L261" i="1"/>
  <c r="C32" i="10" s="1"/>
  <c r="L262" i="1"/>
  <c r="C132" i="2" s="1"/>
  <c r="L342" i="1"/>
  <c r="L343" i="1"/>
  <c r="L256" i="1"/>
  <c r="C130" i="2" s="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E58" i="2" s="1"/>
  <c r="H111" i="1"/>
  <c r="I111" i="1"/>
  <c r="I112" i="1" s="1"/>
  <c r="J111" i="1"/>
  <c r="F121" i="1"/>
  <c r="F136" i="1"/>
  <c r="G121" i="1"/>
  <c r="G136" i="1"/>
  <c r="H121" i="1"/>
  <c r="H136" i="1"/>
  <c r="H140" i="1" s="1"/>
  <c r="I121" i="1"/>
  <c r="I136" i="1"/>
  <c r="J121" i="1"/>
  <c r="J140" i="1" s="1"/>
  <c r="J136" i="1"/>
  <c r="F147" i="1"/>
  <c r="F170" i="1" s="1"/>
  <c r="G147" i="1"/>
  <c r="D85" i="2" s="1"/>
  <c r="H147" i="1"/>
  <c r="H170" i="1" s="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4" i="2"/>
  <c r="E125" i="2"/>
  <c r="F128" i="2"/>
  <c r="G128"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H409" i="1" s="1"/>
  <c r="H645" i="1" s="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2" i="1"/>
  <c r="G653" i="1"/>
  <c r="H653" i="1"/>
  <c r="G654" i="1"/>
  <c r="H654" i="1"/>
  <c r="G655" i="1"/>
  <c r="H655" i="1"/>
  <c r="H656" i="1"/>
  <c r="J656" i="1" s="1"/>
  <c r="G62" i="2"/>
  <c r="I170" i="1"/>
  <c r="G651" i="1" l="1"/>
  <c r="D15" i="13"/>
  <c r="C15" i="13" s="1"/>
  <c r="G477" i="1"/>
  <c r="E123" i="2"/>
  <c r="E121" i="2"/>
  <c r="E119" i="2"/>
  <c r="G339" i="1"/>
  <c r="G353" i="1" s="1"/>
  <c r="E110" i="2"/>
  <c r="K339" i="1"/>
  <c r="K353" i="1" s="1"/>
  <c r="G662" i="1"/>
  <c r="G409" i="1"/>
  <c r="H646" i="1" s="1"/>
  <c r="J646" i="1" s="1"/>
  <c r="L257" i="1"/>
  <c r="J652" i="1"/>
  <c r="C121" i="2"/>
  <c r="C120" i="2"/>
  <c r="C119" i="2"/>
  <c r="C112" i="2"/>
  <c r="A40" i="12"/>
  <c r="C13" i="10"/>
  <c r="J258" i="1"/>
  <c r="J272" i="1" s="1"/>
  <c r="C110" i="2"/>
  <c r="C11" i="10"/>
  <c r="C12" i="10"/>
  <c r="F258" i="1"/>
  <c r="F272" i="1" s="1"/>
  <c r="E85" i="2"/>
  <c r="J112" i="1"/>
  <c r="J194" i="1" s="1"/>
  <c r="G647" i="1" s="1"/>
  <c r="E114" i="2"/>
  <c r="C20" i="10"/>
  <c r="D6" i="13"/>
  <c r="C6" i="13" s="1"/>
  <c r="E13" i="13"/>
  <c r="C13" i="13" s="1"/>
  <c r="H112" i="1"/>
  <c r="H194" i="1" s="1"/>
  <c r="G630" i="1" s="1"/>
  <c r="J630" i="1" s="1"/>
  <c r="L402" i="1"/>
  <c r="C139" i="2" s="1"/>
  <c r="C91" i="2"/>
  <c r="H462" i="1"/>
  <c r="H642" i="1" s="1"/>
  <c r="H477" i="1"/>
  <c r="H625" i="1" s="1"/>
  <c r="J625" i="1" s="1"/>
  <c r="D50" i="2"/>
  <c r="G553" i="1"/>
  <c r="F339" i="1"/>
  <c r="F353" i="1" s="1"/>
  <c r="J642" i="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E91" i="2"/>
  <c r="J655" i="1"/>
  <c r="J654" i="1"/>
  <c r="G21" i="2"/>
  <c r="G31" i="2" s="1"/>
  <c r="J32" i="1"/>
  <c r="J435" i="1"/>
  <c r="F435" i="1"/>
  <c r="K435" i="1"/>
  <c r="G134" i="2" s="1"/>
  <c r="G144" i="2" s="1"/>
  <c r="G145" i="2" s="1"/>
  <c r="G31" i="13"/>
  <c r="G140" i="1"/>
  <c r="B11" i="16" s="1"/>
  <c r="F140" i="1"/>
  <c r="G63" i="2"/>
  <c r="J619" i="1"/>
  <c r="G42" i="2"/>
  <c r="J51" i="1"/>
  <c r="G16" i="2"/>
  <c r="G18" i="2" s="1"/>
  <c r="J19" i="1"/>
  <c r="G622" i="1" s="1"/>
  <c r="F546" i="1"/>
  <c r="H435" i="1"/>
  <c r="D103" i="2"/>
  <c r="I140" i="1"/>
  <c r="A22" i="12"/>
  <c r="G50" i="2"/>
  <c r="J653" i="1"/>
  <c r="G572" i="1"/>
  <c r="I435" i="1"/>
  <c r="G435" i="1"/>
  <c r="I664" i="1"/>
  <c r="E128" i="2" l="1"/>
  <c r="E115" i="2"/>
  <c r="F661" i="1"/>
  <c r="F665" i="1" s="1"/>
  <c r="F668" i="1" s="1"/>
  <c r="D51" i="2"/>
  <c r="C141" i="2"/>
  <c r="C144" i="2" s="1"/>
  <c r="H649" i="1"/>
  <c r="J649" i="1" s="1"/>
  <c r="H661" i="1"/>
  <c r="H665" i="1" s="1"/>
  <c r="H668" i="1" s="1"/>
  <c r="F194" i="1"/>
  <c r="G628" i="1" s="1"/>
  <c r="J628" i="1" s="1"/>
  <c r="G24" i="14"/>
  <c r="H24" i="14" s="1"/>
  <c r="I24" i="14" s="1"/>
  <c r="E51" i="2"/>
  <c r="G36" i="14"/>
  <c r="H36" i="14" s="1"/>
  <c r="I36" i="14" s="1"/>
  <c r="C81" i="2"/>
  <c r="F51" i="2"/>
  <c r="L572" i="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673" i="1"/>
  <c r="C6" i="10" s="1"/>
  <c r="F673" i="1"/>
  <c r="C4" i="10" s="1"/>
  <c r="C104" i="2"/>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<sst xmlns="http://schemas.openxmlformats.org/spreadsheetml/2006/main" count="5550" uniqueCount="1647">
  <si>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</si>
  <si>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</si>
  <si>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</si>
  <si>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</si>
  <si>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</si>
  <si>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</si>
  <si>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</si>
  <si>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</si>
  <si>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</si>
  <si>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</si>
  <si>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</si>
  <si>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</si>
  <si>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</si>
  <si>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</si>
  <si>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</si>
  <si>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</si>
  <si>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</si>
  <si>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</si>
  <si>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</si>
  <si>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</si>
  <si>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</si>
  <si>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</si>
  <si>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</si>
  <si>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</si>
  <si>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</si>
  <si>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</si>
  <si>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</si>
  <si>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</si>
  <si>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</si>
  <si>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</si>
  <si>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</si>
  <si>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</si>
  <si>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</si>
  <si>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</si>
  <si>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</si>
  <si>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</si>
  <si>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</si>
  <si>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</si>
  <si>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</si>
  <si>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</si>
  <si>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</si>
  <si>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</si>
  <si>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</si>
  <si>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</si>
  <si>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</si>
  <si>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</si>
  <si>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</si>
  <si>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</si>
  <si>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</si>
  <si>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</si>
  <si>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</si>
  <si>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</si>
  <si>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</si>
  <si>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</si>
  <si>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</si>
  <si>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</si>
  <si>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</si>
  <si>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</si>
  <si>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</si>
  <si>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</si>
  <si>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</si>
  <si>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</si>
  <si>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</si>
  <si>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</si>
  <si>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</si>
  <si>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</si>
  <si>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</si>
  <si>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</si>
  <si>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</si>
  <si>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</si>
  <si>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</si>
  <si>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</si>
  <si>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</si>
  <si>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</si>
  <si>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</si>
  <si>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</si>
  <si>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</si>
  <si>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</si>
  <si>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</si>
  <si>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</si>
  <si>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</si>
  <si>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</si>
  <si>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</si>
  <si>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</si>
  <si>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</si>
  <si>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</si>
  <si>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</si>
  <si>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</si>
  <si>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</si>
  <si>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</si>
  <si>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</si>
  <si>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</si>
  <si>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</si>
  <si>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</si>
  <si>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</si>
  <si>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</si>
  <si>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</si>
  <si>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</si>
  <si>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</si>
  <si>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</si>
  <si>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</si>
  <si>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</si>
  <si>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</si>
  <si>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</si>
  <si>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</si>
  <si>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</si>
  <si>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</si>
  <si>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</si>
  <si>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</si>
  <si>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</si>
  <si>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</si>
  <si>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</si>
  <si>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</si>
  <si>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</si>
  <si>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</si>
  <si>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</si>
  <si>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</si>
  <si>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</si>
  <si>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</si>
  <si>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</si>
  <si>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</si>
  <si>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</si>
  <si>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</si>
  <si>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</si>
  <si>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</si>
  <si>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</si>
  <si>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</si>
  <si>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</si>
  <si>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</si>
  <si>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</si>
  <si>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</si>
  <si>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</si>
  <si>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</si>
  <si>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</si>
  <si>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</si>
  <si>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</si>
  <si>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</si>
  <si>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</si>
  <si>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</si>
  <si>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</si>
  <si>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</si>
  <si>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</si>
  <si>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</si>
  <si>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</si>
  <si>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</si>
  <si>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</si>
  <si>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</si>
  <si>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</si>
  <si>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</si>
  <si>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</si>
  <si>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</si>
  <si>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</si>
  <si>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</si>
  <si>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</si>
  <si>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</si>
  <si>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</si>
  <si>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</si>
  <si>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</si>
  <si>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</si>
  <si>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</si>
  <si>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</si>
  <si>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</si>
  <si>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</si>
  <si>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</si>
  <si>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</si>
  <si>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</si>
  <si>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</si>
  <si>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</si>
  <si>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</si>
  <si>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</si>
  <si>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</si>
  <si>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</si>
  <si>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</si>
  <si>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</si>
  <si>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</si>
  <si>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</si>
  <si>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</si>
  <si>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</si>
  <si>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</si>
  <si>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</si>
  <si>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</si>
  <si>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</si>
  <si>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</si>
  <si>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</si>
  <si>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</si>
  <si>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</si>
  <si>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</si>
  <si>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</si>
  <si>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</si>
  <si>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</si>
  <si>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</si>
  <si>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</si>
  <si>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</si>
  <si>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</si>
  <si>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</si>
  <si>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</si>
  <si>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</si>
  <si>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</si>
  <si>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</si>
  <si>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</si>
  <si>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</si>
  <si>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</si>
  <si>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</si>
  <si>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</si>
  <si>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</si>
  <si>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</si>
  <si>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</si>
  <si>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</si>
  <si>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</si>
  <si>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</si>
  <si>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</si>
  <si>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</si>
  <si>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</si>
  <si>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</si>
  <si>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</si>
  <si>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</si>
  <si>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</si>
  <si>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</si>
  <si>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</si>
  <si>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</si>
  <si>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</si>
  <si>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</si>
  <si>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</si>
  <si>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</si>
  <si>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</si>
  <si>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</si>
  <si>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</si>
  <si>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</si>
  <si>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</si>
  <si>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</si>
  <si>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</si>
  <si>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</si>
  <si>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</si>
  <si>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</si>
  <si>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</si>
  <si>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</si>
  <si>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</si>
  <si>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</si>
  <si>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</si>
  <si>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</si>
  <si>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</si>
  <si>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</si>
  <si>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</si>
  <si>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</si>
  <si>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</si>
  <si>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</si>
  <si>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</si>
  <si>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</si>
  <si>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</si>
  <si>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</si>
  <si>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</si>
  <si>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</si>
  <si>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</si>
  <si>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</si>
  <si>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</si>
  <si>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</si>
  <si>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</si>
  <si>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</si>
  <si>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</si>
  <si>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</si>
  <si>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</si>
  <si>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</si>
  <si>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</si>
  <si>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</si>
  <si>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</si>
  <si>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</si>
  <si>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</si>
  <si>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</si>
  <si>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</si>
  <si>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</si>
  <si>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</si>
  <si>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</si>
  <si>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</si>
  <si>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</si>
  <si>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</si>
  <si>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</si>
  <si>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</si>
  <si>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</si>
  <si>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</si>
  <si>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</si>
  <si>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</si>
  <si>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</si>
  <si>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</si>
  <si>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</si>
  <si>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</si>
  <si>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</si>
  <si>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</si>
  <si>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</si>
  <si>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</si>
  <si>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</si>
  <si>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</si>
  <si>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</si>
  <si>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</si>
  <si>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</si>
  <si>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</si>
  <si>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</si>
  <si>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</si>
  <si>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</si>
  <si>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</si>
  <si>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</si>
  <si>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</si>
  <si>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</si>
  <si>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</si>
  <si>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</si>
  <si>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</si>
  <si>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</si>
  <si>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</si>
  <si>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</si>
  <si>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</si>
  <si>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</si>
  <si>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</si>
  <si>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</si>
  <si>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</si>
  <si>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</si>
  <si>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</si>
  <si>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</si>
  <si>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</si>
  <si>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</si>
  <si>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</si>
  <si>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</si>
  <si>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</si>
  <si>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</si>
  <si>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</si>
  <si>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</si>
  <si>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</si>
  <si>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</si>
  <si>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</si>
  <si>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</si>
  <si>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</si>
  <si>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</si>
  <si>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</si>
  <si>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</si>
  <si>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</si>
  <si>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</si>
  <si>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</si>
  <si>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</si>
  <si>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</si>
  <si>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</si>
  <si>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</si>
  <si>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</si>
  <si>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</si>
  <si>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</si>
  <si>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</si>
  <si>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</si>
  <si>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</si>
  <si>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</si>
  <si>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</si>
  <si>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</si>
  <si>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</si>
  <si>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</si>
  <si>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</si>
  <si>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</si>
  <si>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</si>
  <si>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</si>
  <si>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</si>
  <si>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</si>
  <si>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</si>
  <si>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</si>
  <si>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</si>
  <si>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</si>
  <si>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</si>
  <si>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</si>
  <si>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</si>
  <si>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</si>
  <si>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</si>
  <si>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</si>
  <si>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</si>
  <si>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</si>
  <si>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</si>
  <si>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</si>
  <si>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</si>
  <si>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</si>
  <si>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</si>
  <si>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</si>
  <si>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</si>
  <si>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</si>
  <si>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</si>
  <si>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</si>
  <si>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</si>
  <si>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</si>
  <si>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</si>
  <si>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</si>
  <si>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</si>
  <si>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</si>
  <si>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</si>
  <si>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</si>
  <si>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</si>
  <si>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</si>
  <si>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</si>
  <si>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</si>
  <si>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</si>
  <si>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</si>
  <si>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</si>
  <si>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</si>
  <si>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</si>
  <si>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</si>
  <si>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</si>
  <si>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</si>
  <si>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</si>
  <si>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</si>
  <si>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</si>
  <si>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</si>
  <si>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</si>
  <si>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</si>
  <si>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</si>
  <si>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</si>
  <si>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</si>
  <si>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</si>
  <si>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</si>
  <si>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</si>
  <si>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</si>
  <si>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</si>
  <si>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</si>
  <si>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</si>
  <si>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</si>
  <si>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</si>
  <si>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</si>
  <si>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</si>
  <si>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</si>
  <si>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</si>
  <si>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</si>
  <si>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</si>
  <si>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</si>
  <si>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</si>
  <si>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</si>
  <si>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</si>
  <si>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</si>
  <si>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</si>
  <si>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</si>
  <si>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</si>
  <si>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</si>
  <si>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</si>
  <si>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</si>
  <si>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</si>
  <si>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</si>
  <si>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</si>
  <si>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</si>
  <si>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</si>
  <si>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</si>
  <si>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</si>
  <si>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</si>
  <si>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</si>
  <si>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</si>
  <si>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</si>
  <si>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</si>
  <si>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</si>
  <si>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</si>
  <si>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</si>
  <si>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</si>
  <si>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</si>
  <si>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</si>
  <si>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</si>
  <si>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</si>
  <si>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</si>
  <si>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</si>
  <si>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</si>
  <si>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</si>
  <si>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</si>
  <si>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</si>
  <si>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</si>
  <si>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</si>
  <si>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</si>
  <si>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</si>
  <si>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</si>
  <si>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</si>
  <si>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</si>
  <si>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</si>
  <si>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</si>
  <si>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</si>
  <si>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</si>
  <si>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</si>
  <si>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</si>
  <si>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</si>
  <si>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</si>
  <si>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</si>
  <si>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</si>
  <si>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</si>
  <si>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</si>
  <si>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</si>
  <si>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</si>
  <si>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</si>
  <si>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</si>
  <si>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</si>
  <si>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</si>
  <si>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</si>
  <si>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</si>
  <si>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</si>
  <si>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</si>
  <si>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</si>
  <si>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</si>
  <si>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</si>
  <si>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</si>
  <si>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</si>
  <si>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</si>
  <si>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</si>
  <si>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</si>
  <si>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</si>
  <si>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</si>
  <si>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</si>
  <si>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</si>
  <si>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</si>
  <si>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</si>
  <si>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</si>
  <si>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</si>
  <si>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</si>
  <si>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</si>
  <si>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</si>
  <si>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</si>
  <si>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</si>
  <si>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</si>
  <si>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</si>
  <si>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</si>
  <si>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</si>
  <si>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</si>
  <si>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</si>
  <si>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</si>
  <si>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</si>
  <si>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</si>
  <si>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</si>
  <si>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</si>
  <si>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</si>
  <si>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</si>
  <si>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</si>
  <si>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</si>
  <si>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</si>
  <si>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</si>
  <si>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</si>
  <si>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</si>
  <si>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</si>
  <si>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</si>
  <si>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</si>
  <si>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</si>
  <si>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</si>
  <si>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</si>
  <si>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</si>
  <si>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</si>
  <si>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</si>
  <si>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</si>
  <si>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</si>
  <si>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</si>
  <si>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</si>
  <si>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</si>
  <si>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</si>
  <si>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</si>
  <si>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</si>
  <si>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</si>
  <si>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</si>
  <si>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</si>
  <si>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</si>
  <si>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</si>
  <si>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</si>
  <si>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</si>
  <si>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</si>
  <si>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</si>
  <si>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</si>
  <si>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</si>
  <si>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</si>
  <si>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</si>
  <si>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</si>
  <si>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</si>
  <si>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</si>
  <si>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</si>
  <si>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</si>
  <si>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</si>
  <si>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</si>
  <si>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</si>
  <si>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</si>
  <si>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</si>
  <si>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</si>
  <si>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</si>
  <si>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</si>
  <si>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</si>
  <si>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</si>
  <si>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</si>
  <si>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</si>
  <si>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</si>
  <si>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</si>
  <si>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</si>
  <si>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</si>
  <si>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</si>
  <si>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</si>
  <si>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</si>
  <si>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</si>
  <si>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</si>
  <si>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</si>
  <si>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</si>
  <si>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</si>
  <si>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</si>
  <si>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</si>
  <si>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</si>
  <si>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</si>
  <si>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</si>
  <si>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</si>
  <si>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</si>
  <si>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</si>
  <si>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</si>
  <si>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</si>
  <si>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</si>
  <si>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</si>
  <si>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</si>
  <si>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</si>
  <si>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</si>
  <si>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</si>
  <si>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</si>
  <si>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</si>
  <si>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</si>
  <si>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</si>
  <si>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</si>
  <si>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</si>
  <si>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</si>
  <si>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</si>
  <si>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</si>
  <si>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</si>
  <si>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</si>
  <si>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</si>
  <si>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</si>
  <si>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</si>
  <si>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</si>
  <si>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</si>
  <si>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</si>
  <si>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</si>
  <si>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</si>
  <si>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</si>
  <si>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</si>
  <si>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</si>
  <si>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</si>
  <si>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</si>
  <si>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</si>
  <si>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</si>
  <si>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</si>
  <si>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</si>
  <si>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</si>
  <si>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</si>
  <si>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</si>
  <si>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</si>
  <si>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</si>
  <si>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</si>
  <si>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</si>
  <si>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</si>
  <si>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</si>
  <si>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</si>
  <si>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</si>
  <si>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</si>
  <si>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</si>
  <si>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</si>
  <si>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</si>
  <si>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</si>
  <si>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</si>
  <si>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</si>
  <si>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</si>
  <si>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</si>
  <si>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</si>
  <si>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</si>
  <si>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</si>
  <si>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</si>
  <si>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</si>
  <si>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</si>
  <si>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</si>
  <si>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</si>
  <si>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</si>
  <si>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</si>
  <si>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</si>
  <si>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</si>
  <si>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</si>
  <si>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</si>
  <si>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</si>
  <si>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</si>
  <si>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</si>
  <si>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</si>
  <si>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</si>
  <si>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</si>
  <si>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</si>
  <si>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</si>
  <si>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</si>
  <si>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</si>
  <si>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</si>
  <si>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</si>
  <si>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</si>
  <si>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</si>
  <si>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</si>
  <si>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</si>
  <si>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</si>
  <si>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</si>
  <si>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</si>
  <si>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</si>
  <si>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</si>
  <si>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</si>
  <si>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</si>
  <si>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</si>
  <si>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</si>
  <si>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</si>
  <si>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</si>
  <si>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</si>
  <si>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</si>
  <si>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</si>
  <si>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</si>
  <si>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</si>
  <si>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</si>
  <si>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</si>
  <si>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</si>
  <si>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</si>
  <si>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</si>
  <si>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</si>
  <si>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</si>
  <si>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</si>
  <si>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</si>
  <si>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</si>
  <si>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</si>
  <si>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</si>
  <si>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</si>
  <si>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</si>
  <si>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</si>
  <si>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</si>
  <si>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</si>
  <si>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</si>
  <si>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</si>
  <si>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</si>
  <si>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</si>
  <si>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</si>
  <si>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</si>
  <si>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</si>
  <si>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</si>
  <si>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</si>
  <si>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</si>
  <si>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</si>
  <si>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</si>
  <si>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</si>
  <si>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</si>
  <si>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</si>
  <si>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</si>
  <si>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</si>
  <si>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</si>
  <si>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</si>
  <si>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</si>
  <si>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</si>
  <si>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</si>
  <si>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</si>
  <si>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</si>
  <si>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</si>
  <si>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</si>
  <si>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</si>
  <si>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</si>
  <si>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</si>
  <si>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</si>
  <si>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</si>
  <si>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</si>
  <si>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</si>
  <si>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</si>
  <si>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</si>
  <si>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</si>
  <si>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</si>
  <si>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</si>
  <si>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</si>
  <si>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</si>
  <si>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</si>
  <si>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</si>
  <si>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</si>
  <si>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</si>
  <si>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</si>
  <si>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</si>
  <si>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</si>
  <si>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</si>
  <si>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</si>
  <si>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</si>
  <si>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</si>
  <si>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</si>
  <si>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</si>
  <si>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</si>
  <si>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</si>
  <si>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</si>
  <si>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</si>
  <si>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</si>
  <si>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</si>
  <si>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</si>
  <si>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</si>
  <si>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</si>
  <si>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</si>
  <si>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</si>
  <si>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</si>
  <si>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</si>
  <si>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</si>
  <si>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</si>
  <si>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</si>
  <si>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</si>
  <si>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</si>
  <si>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</si>
  <si>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</si>
  <si>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</si>
  <si>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</si>
  <si>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</si>
  <si>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</si>
  <si>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</si>
  <si>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</si>
  <si>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</si>
  <si>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</si>
  <si>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</si>
  <si>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</si>
  <si>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</si>
  <si>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</si>
  <si>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</si>
  <si>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</si>
  <si>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</si>
  <si>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</si>
  <si>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</si>
  <si>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</si>
  <si>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</si>
  <si>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</si>
  <si>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</si>
  <si>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</si>
  <si>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</si>
  <si>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</si>
  <si>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</si>
  <si>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</si>
  <si>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</si>
  <si>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</si>
  <si>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</si>
  <si>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</si>
  <si>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</si>
  <si>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</si>
  <si>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</si>
  <si>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</si>
  <si>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</si>
  <si>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</si>
  <si>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</si>
  <si>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</si>
  <si>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</si>
  <si>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</si>
  <si>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</si>
  <si>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</si>
  <si>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</si>
  <si>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</si>
  <si>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</si>
  <si>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</si>
  <si>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</si>
  <si>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</si>
  <si>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</si>
  <si>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</si>
  <si>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</si>
  <si>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</si>
  <si>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</si>
  <si>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</si>
  <si>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</si>
  <si>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</si>
  <si>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</si>
  <si>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</si>
  <si>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</si>
  <si>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</si>
  <si>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</si>
  <si>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</si>
  <si>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</si>
  <si>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</si>
  <si>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</si>
  <si>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</si>
  <si>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</si>
  <si>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</si>
  <si>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</si>
  <si>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</si>
  <si>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</si>
  <si>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</si>
  <si>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</si>
  <si>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</si>
  <si>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</si>
  <si>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</si>
  <si>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</si>
  <si>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</si>
  <si>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</si>
  <si>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</si>
  <si>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</si>
  <si>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</si>
  <si>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</si>
  <si>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</si>
  <si>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</si>
  <si>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</si>
  <si>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</si>
  <si>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</si>
  <si>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</si>
  <si>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</si>
  <si>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</si>
  <si>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</si>
  <si>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</si>
  <si>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</si>
  <si>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</si>
  <si>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</si>
  <si>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</si>
  <si>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</si>
  <si>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</si>
  <si>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</si>
  <si>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</si>
  <si>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</si>
  <si>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</si>
  <si>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</si>
  <si>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</si>
  <si>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</si>
  <si>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</si>
  <si>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</si>
  <si>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</si>
  <si>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</si>
  <si>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</si>
  <si>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</si>
  <si>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</si>
  <si>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</si>
  <si>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</si>
  <si>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</si>
  <si>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</si>
  <si>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</si>
  <si>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</si>
  <si>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</si>
  <si>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</si>
  <si>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</si>
  <si>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</si>
  <si>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</si>
  <si>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</si>
  <si>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</si>
  <si>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</si>
  <si>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</si>
  <si>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</si>
  <si>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</si>
  <si>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</si>
  <si>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</si>
  <si>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</si>
  <si>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</si>
  <si>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</si>
  <si>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</si>
  <si>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</si>
  <si>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</si>
  <si>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</si>
  <si>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</si>
  <si>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</si>
  <si>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</si>
  <si>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</si>
  <si>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</si>
  <si>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</si>
  <si>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</si>
  <si>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</si>
  <si>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</si>
  <si>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</si>
  <si>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</si>
  <si>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</si>
  <si>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</si>
  <si>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</si>
  <si>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</si>
  <si>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</si>
  <si>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</si>
  <si>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</si>
  <si>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</si>
  <si>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</si>
  <si>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</si>
  <si>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</si>
  <si>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</si>
  <si>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</si>
  <si>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</si>
  <si>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</si>
  <si>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</si>
  <si>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</si>
  <si>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</si>
  <si>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</si>
  <si>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</si>
  <si>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</si>
  <si>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</si>
  <si>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</si>
  <si>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</si>
  <si>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</si>
  <si>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</si>
  <si>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</si>
  <si>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</si>
  <si>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</si>
  <si>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</si>
  <si>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</si>
  <si>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</si>
  <si>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</si>
  <si>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</si>
  <si>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</si>
  <si>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</si>
  <si>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</si>
  <si>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</si>
  <si>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</si>
  <si>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</si>
  <si>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</si>
  <si>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</si>
  <si>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</si>
  <si>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</si>
  <si>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</si>
  <si>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</si>
  <si>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</si>
  <si>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</si>
  <si>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</si>
  <si>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</si>
  <si>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</si>
  <si>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</si>
  <si>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</si>
  <si>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</si>
  <si>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</si>
  <si>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</si>
  <si>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</si>
  <si>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</si>
  <si>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</si>
  <si>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</si>
  <si>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</si>
  <si>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</si>
  <si>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</si>
  <si>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</si>
  <si>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</si>
  <si>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</si>
  <si>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</si>
  <si>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</si>
  <si>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</si>
  <si>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</si>
  <si>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</si>
  <si>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</si>
  <si>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</si>
  <si>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</si>
  <si>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</si>
  <si>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</si>
  <si>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</si>
  <si>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</si>
  <si>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</si>
  <si>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</si>
  <si>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</si>
  <si>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</si>
  <si>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</si>
  <si>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</si>
  <si>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</si>
  <si>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</si>
  <si>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</si>
  <si>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</si>
  <si>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</si>
  <si>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</si>
  <si>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</si>
  <si>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</si>
  <si>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</si>
  <si>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</si>
  <si>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</si>
  <si>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</si>
  <si>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</si>
  <si>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</si>
  <si>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</si>
  <si>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</si>
  <si>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</si>
  <si>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</si>
  <si>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</si>
  <si>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</si>
  <si>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</si>
  <si>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</si>
  <si>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</si>
  <si>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</si>
  <si>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</si>
  <si>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</si>
  <si>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</si>
  <si>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</si>
  <si>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</si>
  <si>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</si>
  <si>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</si>
  <si>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</si>
  <si>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</si>
  <si>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</si>
  <si>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</si>
  <si>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</si>
  <si>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</si>
  <si>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</si>
  <si>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</si>
  <si>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</si>
  <si>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</si>
  <si>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</si>
  <si>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</si>
  <si>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</si>
  <si>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</si>
  <si>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</si>
  <si>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</si>
  <si>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</si>
  <si>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</si>
  <si>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</si>
  <si>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</si>
  <si>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</si>
  <si>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</si>
  <si>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</si>
  <si>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</si>
  <si>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</si>
  <si>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</si>
  <si>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</si>
  <si>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</si>
  <si>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</si>
  <si>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</si>
  <si>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</si>
  <si>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</si>
  <si>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</si>
  <si>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</si>
  <si>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</si>
  <si>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</si>
  <si>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</si>
  <si>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</si>
  <si>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</si>
  <si>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</si>
  <si>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</si>
  <si>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</si>
  <si>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</si>
  <si>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</si>
  <si>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</si>
  <si>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</si>
  <si>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</si>
  <si>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</si>
  <si>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</si>
  <si>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</si>
  <si>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</si>
  <si>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</si>
  <si>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</si>
  <si>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</si>
  <si>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</si>
  <si>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</si>
  <si>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</si>
  <si>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</si>
  <si>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</si>
  <si>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</si>
  <si>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</si>
  <si>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</si>
  <si>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</si>
  <si>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</si>
  <si>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</si>
  <si>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</si>
  <si>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</si>
  <si>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</si>
  <si>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</si>
  <si>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</si>
  <si>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</si>
  <si>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</si>
  <si>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</si>
  <si>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</si>
  <si>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</si>
  <si>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</si>
  <si>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</si>
  <si>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</si>
  <si>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</si>
  <si>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</si>
  <si>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</si>
  <si>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</si>
  <si>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</si>
  <si>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</si>
  <si>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</si>
  <si>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</si>
  <si>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</si>
  <si>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</si>
  <si>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</si>
  <si>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</si>
  <si>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</si>
  <si>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</si>
  <si>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</si>
  <si>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</si>
  <si>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</si>
  <si>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</si>
  <si>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</si>
  <si>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</si>
  <si>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</si>
  <si>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</si>
  <si>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</si>
  <si>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</si>
  <si>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</si>
  <si>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</si>
  <si>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</si>
  <si>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</si>
  <si>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</si>
  <si>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</si>
  <si>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</si>
  <si>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</si>
  <si>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</si>
  <si>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</si>
  <si>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</si>
  <si>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</si>
  <si>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</si>
  <si>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</si>
  <si>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</si>
  <si>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</si>
  <si>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</si>
  <si>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</si>
  <si>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</si>
  <si>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</si>
  <si>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</si>
  <si>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</si>
  <si>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</si>
  <si>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</si>
  <si>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</si>
  <si>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</si>
  <si>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</si>
  <si>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</si>
  <si>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</si>
  <si>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</si>
  <si>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</si>
  <si>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</si>
  <si>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</si>
  <si>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</si>
  <si>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</si>
  <si>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</si>
  <si>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</si>
  <si>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</si>
  <si>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</si>
  <si>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</si>
  <si>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</si>
  <si>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</si>
  <si>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</si>
  <si>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</si>
  <si>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</si>
  <si>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</si>
  <si>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</si>
  <si>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</si>
  <si>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</si>
  <si>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</si>
  <si>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</si>
  <si>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</si>
  <si>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</si>
  <si>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</si>
  <si>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</si>
  <si>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</si>
  <si>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</si>
  <si>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</si>
  <si>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</si>
  <si>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</si>
  <si>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</si>
  <si>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</si>
  <si>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</si>
  <si>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</si>
  <si>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</si>
  <si>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</si>
  <si>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</si>
  <si>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</si>
  <si>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</si>
  <si>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</si>
  <si>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</si>
  <si>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</si>
  <si>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</si>
  <si>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</si>
  <si>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</si>
  <si>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</si>
  <si>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</si>
  <si>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</si>
  <si>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</si>
  <si>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</si>
  <si>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</si>
  <si>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</si>
  <si>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</si>
  <si>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</si>
  <si>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</si>
  <si>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</si>
  <si>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</si>
  <si>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</si>
  <si>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</si>
  <si>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</si>
  <si>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</si>
  <si>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</si>
  <si>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</si>
  <si>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</si>
  <si>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</si>
  <si>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</si>
  <si>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</si>
  <si>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</si>
  <si>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</si>
  <si>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</si>
  <si>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</si>
  <si>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</si>
  <si>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</si>
  <si>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</si>
  <si>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</si>
  <si>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</si>
  <si>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</si>
  <si>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</si>
  <si>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</si>
  <si>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</si>
  <si>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</si>
  <si>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</si>
  <si>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</si>
  <si>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</si>
  <si>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</si>
  <si>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</si>
  <si>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</si>
  <si>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</si>
  <si>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</si>
  <si>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</si>
  <si>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</si>
  <si>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</si>
  <si>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</si>
  <si>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</si>
  <si>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</si>
  <si>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</si>
  <si>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</si>
  <si>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</si>
  <si>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</si>
  <si>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</si>
  <si>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</si>
  <si>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</si>
  <si>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</si>
  <si>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</si>
  <si>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</si>
  <si>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</si>
  <si>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</si>
  <si>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</si>
  <si>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</si>
  <si>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</si>
  <si>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</si>
  <si>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</si>
  <si>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</si>
  <si>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</si>
  <si>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</si>
  <si>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</si>
  <si>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</si>
  <si>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</si>
  <si>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</si>
  <si>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</si>
  <si>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</si>
  <si>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</si>
  <si>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</si>
  <si>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</si>
  <si>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</si>
  <si>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</si>
  <si>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</si>
  <si>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</si>
  <si>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</si>
  <si>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</si>
  <si>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</si>
  <si>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</si>
  <si>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</si>
  <si>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</si>
  <si>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</si>
  <si>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</si>
  <si>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</si>
  <si>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</si>
  <si>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</si>
  <si>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</si>
  <si>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</si>
  <si>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</si>
  <si>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</si>
  <si>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</si>
  <si>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</si>
  <si>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</si>
  <si>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</si>
  <si>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</si>
  <si>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</si>
  <si>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</si>
  <si>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</si>
  <si>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</si>
  <si>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</si>
  <si>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</si>
  <si>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</si>
  <si>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</si>
  <si>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</si>
  <si>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</si>
  <si>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</si>
  <si>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</si>
  <si>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</si>
  <si>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</si>
  <si>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</si>
  <si>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</si>
  <si>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</si>
  <si>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</si>
  <si>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</si>
  <si>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</si>
  <si>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</si>
  <si>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</si>
  <si>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</si>
  <si>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</si>
  <si>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</si>
  <si>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</si>
  <si>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</si>
  <si>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</si>
  <si>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</si>
  <si>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</si>
  <si>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</si>
  <si>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</si>
  <si>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</si>
  <si>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</si>
  <si>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</si>
  <si>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</si>
  <si>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</si>
  <si>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</si>
  <si>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</si>
  <si>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</si>
  <si>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</si>
  <si>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</si>
  <si>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</si>
  <si>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</si>
  <si>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</si>
  <si>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</si>
  <si>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</si>
  <si>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</si>
  <si>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</si>
  <si>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</si>
  <si>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</si>
  <si>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</si>
  <si>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</si>
  <si>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</si>
  <si>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</si>
  <si>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</si>
  <si>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</si>
  <si>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</si>
  <si>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</si>
  <si>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</si>
  <si>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</si>
  <si>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</si>
  <si>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</si>
  <si>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</si>
  <si>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</si>
  <si>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</si>
  <si>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</si>
  <si>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</si>
  <si>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</si>
  <si>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</si>
  <si>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</si>
  <si>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</si>
  <si>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</si>
  <si>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</si>
  <si>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</si>
  <si>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</si>
  <si>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</si>
  <si>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</si>
  <si>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</si>
  <si>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</si>
  <si>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</si>
  <si>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</si>
  <si>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</si>
  <si>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</si>
  <si>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</si>
  <si>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</si>
  <si>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</si>
  <si>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</si>
  <si>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</si>
  <si>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</si>
  <si>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</si>
  <si>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</si>
  <si>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</si>
  <si>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</si>
  <si>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</si>
  <si>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</si>
  <si>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</si>
  <si>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</si>
  <si>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</si>
  <si>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</si>
  <si>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</si>
  <si>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</si>
  <si>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</si>
  <si>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</si>
  <si>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</si>
  <si>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</si>
  <si>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</si>
  <si>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</si>
  <si>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</si>
  <si>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</si>
  <si>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</si>
  <si>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</si>
  <si>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</si>
  <si>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</si>
  <si>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</si>
  <si>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</si>
  <si>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</si>
  <si>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</si>
  <si>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</si>
  <si>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</si>
  <si>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</si>
  <si>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</si>
  <si>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</si>
  <si>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</si>
  <si>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</si>
  <si>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</si>
  <si>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</si>
  <si>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</si>
  <si>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</si>
  <si>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</si>
  <si>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</si>
  <si>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</si>
  <si>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</si>
  <si>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</si>
  <si>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</si>
  <si>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</si>
  <si>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</si>
  <si>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</si>
  <si>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</si>
  <si>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</si>
  <si>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</si>
  <si>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</si>
  <si>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</si>
  <si>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</si>
  <si>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</si>
  <si>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</si>
  <si>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</si>
  <si>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</si>
  <si>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</si>
  <si>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</si>
  <si>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</si>
  <si>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</si>
  <si>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</si>
  <si>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</si>
  <si>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</si>
  <si>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</si>
  <si>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</si>
  <si>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</si>
  <si>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</si>
  <si>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</si>
  <si>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</si>
  <si>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</si>
  <si>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</si>
  <si>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</si>
  <si>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</si>
  <si>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</si>
  <si>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</si>
  <si>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</si>
  <si>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</si>
  <si>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</si>
  <si>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</si>
  <si>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</si>
  <si>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</si>
  <si>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</si>
  <si>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</si>
  <si>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</si>
  <si>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</si>
  <si>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</si>
  <si>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</si>
  <si>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</si>
  <si>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</si>
  <si>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</si>
  <si>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</si>
  <si>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</si>
  <si>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</si>
  <si>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</si>
  <si>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</si>
  <si>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</si>
  <si>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</si>
  <si>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</si>
  <si>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</si>
  <si>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</si>
  <si>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</si>
  <si>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</si>
  <si>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</si>
  <si>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</si>
  <si>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</si>
  <si>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</si>
  <si>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</si>
  <si>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</si>
  <si>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</si>
  <si>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</si>
  <si>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</si>
  <si>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</si>
  <si>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</si>
  <si>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</si>
  <si>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</si>
  <si>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</si>
  <si>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</si>
  <si>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</si>
  <si>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</si>
  <si>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</si>
  <si>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</si>
  <si>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</si>
  <si>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</si>
  <si>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</si>
  <si>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</si>
  <si>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</si>
  <si>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</si>
  <si>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</si>
  <si>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</si>
  <si>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</si>
  <si>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</si>
  <si>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</si>
  <si>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</si>
  <si>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</si>
  <si>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</si>
  <si>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</si>
  <si>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</si>
  <si>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</si>
  <si>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</si>
  <si>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</si>
  <si>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</si>
  <si>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</si>
  <si>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</si>
  <si>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</si>
  <si>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</si>
  <si>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</si>
  <si>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</si>
  <si>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</si>
  <si>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</si>
  <si>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</si>
  <si>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</si>
  <si>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</si>
  <si>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</si>
  <si>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</si>
  <si>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</si>
  <si>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</si>
  <si>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</si>
  <si>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</si>
  <si>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</si>
  <si>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</si>
  <si>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</si>
  <si>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</si>
  <si>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</si>
  <si>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</si>
  <si>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</si>
  <si>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</si>
  <si>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</si>
  <si>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</si>
  <si>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</si>
  <si>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</si>
  <si>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</si>
  <si>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</si>
  <si>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</si>
  <si>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</si>
  <si>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</si>
  <si>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</si>
  <si>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</si>
  <si>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</si>
  <si>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</si>
  <si>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</si>
  <si>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</si>
  <si>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</si>
  <si>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</si>
  <si>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</si>
  <si>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</si>
  <si>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</si>
  <si>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</si>
  <si>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</si>
  <si>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</si>
  <si>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</si>
  <si>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</si>
  <si>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</si>
  <si>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</si>
  <si>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</si>
  <si>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</si>
  <si>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</si>
  <si>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</si>
  <si>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</si>
  <si>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</si>
  <si>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</si>
  <si>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</si>
  <si>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</si>
  <si>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</si>
  <si>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</si>
  <si>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</si>
  <si>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</si>
  <si>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</si>
  <si>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</si>
  <si>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</si>
  <si>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</si>
  <si>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</si>
  <si>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</si>
  <si>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</si>
  <si>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</si>
  <si>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</si>
  <si>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</si>
  <si>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</si>
  <si>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</si>
  <si>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8/2017</t>
  </si>
  <si>
    <t>8/2037</t>
  </si>
  <si>
    <t>Refi 1/15/15</t>
  </si>
  <si>
    <t>7/2025</t>
  </si>
  <si>
    <t>Windham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</si>
</sst>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5" activePane="bottomRight" state="frozen"/>
      <selection pane="topRight" activeCell="F1" sqref="F1"/>
      <selection pane="bottomLeft" activeCell="A4" sqref="A4"/>
      <selection pane="bottomRight"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1646</v>
      </c>
      <c r="B2" s="21">
        <v>575</v>
      </c>
      <c r="C2" s="21">
        <v>575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1428998.09</v>
      </c>
      <c r="G9" s="18"/>
      <c r="H9" s="18"/>
      <c r="I9" s="18">
        <v>1477399.02</v>
      </c>
      <c r="J9" s="67">
        <f>SUM(I440)</f>
        <v>403101.65</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v>0.04</v>
      </c>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v>24323.58</v>
      </c>
      <c r="H12" s="18">
        <v>661432.37</v>
      </c>
      <c r="I12" s="18">
        <v>720611.03</v>
      </c>
      <c r="J12" s="67">
        <f>SUM(I442)</f>
        <v>0</v>
      </c>
      <c r="K12" s="24" t="s">
        <v>288</v>
      </c>
      <c r="L12" s="24" t="s">
        <v>288</v>
      </c>
      <c r="M12" s="8"/>
      <c r="N12" s="266"/>
    </row>
    <row r="13" spans="1:14" s="3" customFormat="1" ht="12.2" customHeight="1" x14ac:dyDescent="0.15">
      <c r="A13" s="1" t="s">
        <v>604</v>
      </c>
      <c r="B13" s="2" t="s">
        <v>289</v>
      </c>
      <c r="C13" s="6">
        <v>5</v>
      </c>
      <c r="D13" s="2" t="s">
        <v>428</v>
      </c>
      <c r="E13" s="6">
        <v>140</v>
      </c>
      <c r="F13" s="18">
        <v>112084.72</v>
      </c>
      <c r="G13" s="18">
        <v>1257.25</v>
      </c>
      <c r="H13" s="18">
        <v>15890.13</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22169.46</v>
      </c>
      <c r="G14" s="18"/>
      <c r="H14" s="18">
        <v>5814</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48757.25</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13581.3</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1576833.57</v>
      </c>
      <c r="G19" s="41">
        <f>SUM(G9:G18)</f>
        <v>74338.080000000002</v>
      </c>
      <c r="H19" s="41">
        <f>SUM(H9:H18)</f>
        <v>683136.5</v>
      </c>
      <c r="I19" s="41">
        <f>SUM(I9:I18)</f>
        <v>2198010.09</v>
      </c>
      <c r="J19" s="41">
        <f>SUM(J9:J18)</f>
        <v>403101.65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335015.90000000002</v>
      </c>
      <c r="G22" s="18"/>
      <c r="H22" s="18">
        <v>182674.82</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73357.37</v>
      </c>
      <c r="G24" s="18"/>
      <c r="H24" s="18">
        <v>6325.55</v>
      </c>
      <c r="I24" s="18">
        <v>2653.45</v>
      </c>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538.25</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6151.27</v>
      </c>
      <c r="G30" s="18">
        <v>74338.080000000002</v>
      </c>
      <c r="H30" s="18">
        <v>100</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415062.79000000004</v>
      </c>
      <c r="G32" s="41">
        <f>SUM(G22:G31)</f>
        <v>74338.080000000002</v>
      </c>
      <c r="H32" s="41">
        <f>SUM(H22:H31)</f>
        <v>189100.37</v>
      </c>
      <c r="I32" s="41">
        <f>SUM(I22:I31)</f>
        <v>2653.45</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13581</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350000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494036.13</v>
      </c>
      <c r="I48" s="18">
        <v>2195356.64</v>
      </c>
      <c r="J48" s="13">
        <f>SUM(I460)</f>
        <v>403101.65</v>
      </c>
      <c r="K48" s="24" t="s">
        <v>288</v>
      </c>
      <c r="L48" s="24" t="s">
        <v>288</v>
      </c>
      <c r="M48" s="8"/>
      <c r="N48" s="266"/>
    </row>
    <row r="49" spans="1:14" s="3" customFormat="1" ht="12.2" customHeight="1" x14ac:dyDescent="0.15">
      <c r="A49" s="1" t="s">
        <v>859</v>
      </c>
      <c r="B49" s="2" t="s">
        <v>289</v>
      </c>
      <c r="C49" s="6">
        <v>34</v>
      </c>
      <c r="D49" s="2"/>
      <c r="E49" s="6">
        <v>753</v>
      </c>
      <c r="F49" s="18">
        <v>130531.85</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667657.93000000005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1161770.78</v>
      </c>
      <c r="G51" s="41">
        <f>SUM(G35:G50)</f>
        <v>0</v>
      </c>
      <c r="H51" s="41">
        <f>SUM(H35:H50)</f>
        <v>494036.13</v>
      </c>
      <c r="I51" s="41">
        <f>SUM(I35:I50)</f>
        <v>2195356.64</v>
      </c>
      <c r="J51" s="41">
        <f>SUM(J35:J50)</f>
        <v>403101.65</v>
      </c>
      <c r="K51" s="45" t="s">
        <v>288</v>
      </c>
      <c r="L51" s="45" t="s">
        <v>288</v>
      </c>
      <c r="N51" s="264"/>
    </row>
    <row r="52" spans="1:14" s="3" customFormat="1" ht="12.2" customHeight="1" thickTop="1" x14ac:dyDescent="0.15">
      <c r="A52" s="38" t="s">
        <v>455</v>
      </c>
      <c r="B52" s="39" t="s">
        <v>289</v>
      </c>
      <c r="C52" s="6">
        <v>37</v>
      </c>
      <c r="D52" s="39" t="s">
        <v>653</v>
      </c>
      <c r="E52" s="39"/>
      <c r="F52" s="41">
        <f>F51+F32</f>
        <v>1576833.57</v>
      </c>
      <c r="G52" s="41">
        <f>G51+G32</f>
        <v>74338.080000000002</v>
      </c>
      <c r="H52" s="41">
        <f>H51+H32</f>
        <v>683136.5</v>
      </c>
      <c r="I52" s="41">
        <f>I51+I32</f>
        <v>2198010.0900000003</v>
      </c>
      <c r="J52" s="41">
        <f>J51+J32</f>
        <v>403101.65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37825825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37825825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83901.1</v>
      </c>
      <c r="G63" s="24" t="s">
        <v>288</v>
      </c>
      <c r="H63" s="18">
        <v>75400.350000000006</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6045.15</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v>16515</v>
      </c>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89946.25</v>
      </c>
      <c r="G79" s="45" t="s">
        <v>288</v>
      </c>
      <c r="H79" s="41">
        <f>SUM(H63:H78)</f>
        <v>91915.35</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33067.14</v>
      </c>
      <c r="G96" s="18"/>
      <c r="H96" s="18"/>
      <c r="I96" s="18">
        <v>51965.599999999999</v>
      </c>
      <c r="J96" s="18">
        <v>284.75</v>
      </c>
      <c r="K96" s="24" t="s">
        <v>288</v>
      </c>
      <c r="L96" s="24" t="s">
        <v>288</v>
      </c>
      <c r="M96" s="8"/>
      <c r="N96" s="266"/>
    </row>
    <row r="97" spans="1:14" s="3" customFormat="1" ht="12.2" customHeight="1" x14ac:dyDescent="0.15">
      <c r="A97" s="1" t="s">
        <v>503</v>
      </c>
      <c r="B97" s="2" t="s">
        <v>315</v>
      </c>
      <c r="C97" s="6">
        <v>12</v>
      </c>
      <c r="D97" s="2" t="s">
        <v>430</v>
      </c>
      <c r="E97" s="6">
        <v>1600</v>
      </c>
      <c r="F97" s="24" t="s">
        <v>288</v>
      </c>
      <c r="G97" s="18">
        <v>479939.22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v>55073.4</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38874</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12266.96</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461686</v>
      </c>
      <c r="G110" s="18">
        <v>8667.2000000000007</v>
      </c>
      <c r="H110" s="18">
        <v>52389.05</v>
      </c>
      <c r="I110" s="18">
        <v>85223.6</v>
      </c>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533627.14</v>
      </c>
      <c r="G111" s="41">
        <f>SUM(G96:G110)</f>
        <v>488606.42</v>
      </c>
      <c r="H111" s="41">
        <f>SUM(H96:H110)</f>
        <v>119729.41</v>
      </c>
      <c r="I111" s="41">
        <f>SUM(I96:I110)</f>
        <v>137189.20000000001</v>
      </c>
      <c r="J111" s="41">
        <f>SUM(J96:J110)</f>
        <v>284.75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38449398.390000001</v>
      </c>
      <c r="G112" s="41">
        <f>G60+G111</f>
        <v>488606.42</v>
      </c>
      <c r="H112" s="41">
        <f>H60+H79+H94+H111</f>
        <v>211644.76</v>
      </c>
      <c r="I112" s="41">
        <f>I60+I111</f>
        <v>137189.20000000001</v>
      </c>
      <c r="J112" s="41">
        <f>J60+J111</f>
        <v>284.75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6329929.4500000002</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5454666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19549.95</v>
      </c>
      <c r="G120" s="18"/>
      <c r="H120" s="18">
        <v>203044</v>
      </c>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11804145.399999999</v>
      </c>
      <c r="G121" s="41">
        <f>SUM(G117:G120)</f>
        <v>0</v>
      </c>
      <c r="H121" s="41">
        <f>SUM(H117:H120)</f>
        <v>203044</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602994.56000000006</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589792.43999999994</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12509.8</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v>1891.95</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9407.31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1205296.8</v>
      </c>
      <c r="G136" s="41">
        <f>SUM(G123:G135)</f>
        <v>9407.31</v>
      </c>
      <c r="H136" s="41">
        <f>SUM(H123:H135)</f>
        <v>1891.95</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13009442.199999999</v>
      </c>
      <c r="G140" s="41">
        <f>G121+SUM(G136:G137)</f>
        <v>9407.31</v>
      </c>
      <c r="H140" s="41">
        <f>H121+SUM(H136:H139)</f>
        <v>204935.95</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26379.9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82907.850000000006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113270.88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613168.81999999995</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21653.21</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15890.13</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21653.21</v>
      </c>
      <c r="G163" s="41">
        <f>SUM(G150:G162)</f>
        <v>113270.88</v>
      </c>
      <c r="H163" s="41">
        <f>SUM(H150:H162)</f>
        <v>738346.7</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21653.21</v>
      </c>
      <c r="G170" s="41">
        <f>G147+G163+SUM(G164:G169)</f>
        <v>113270.88</v>
      </c>
      <c r="H170" s="41">
        <f>H147+H163+SUM(H164:H169)</f>
        <v>738346.7</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14939.09</v>
      </c>
      <c r="H180" s="18"/>
      <c r="I180" s="18"/>
      <c r="J180" s="18">
        <v>100000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14939.09</v>
      </c>
      <c r="H184" s="41">
        <f>SUM(H180:H183)</f>
        <v>0</v>
      </c>
      <c r="I184" s="41">
        <f>SUM(I180:I183)</f>
        <v>0</v>
      </c>
      <c r="J184" s="41">
        <f>SUM(J180:J183)</f>
        <v>100000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v>1598461.5</v>
      </c>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1598461.5</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1598461.5</v>
      </c>
      <c r="G193" s="41">
        <f>G184+SUM(G189:G192)</f>
        <v>14939.09</v>
      </c>
      <c r="H193" s="41">
        <f>+H184+SUM(H189:H192)</f>
        <v>0</v>
      </c>
      <c r="I193" s="41">
        <f>I178+I184+SUM(I189:I192)</f>
        <v>0</v>
      </c>
      <c r="J193" s="41">
        <f>J184</f>
        <v>100000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53078955.300000004</v>
      </c>
      <c r="G194" s="47">
        <f>G112+G140+G170+G193</f>
        <v>626223.69999999995</v>
      </c>
      <c r="H194" s="47">
        <f>H112+H140+H170+H193</f>
        <v>1154927.4099999999</v>
      </c>
      <c r="I194" s="47">
        <f>I112+I140+I170+I193</f>
        <v>137189.20000000001</v>
      </c>
      <c r="J194" s="47">
        <f>J112+J140+J193</f>
        <v>100284.75</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8802869.5399999991</v>
      </c>
      <c r="G198" s="18">
        <v>4219241.71</v>
      </c>
      <c r="H198" s="18">
        <v>21601.58</v>
      </c>
      <c r="I198" s="18">
        <v>357066.72</v>
      </c>
      <c r="J198" s="18">
        <v>64209.5</v>
      </c>
      <c r="K198" s="18">
        <v>2817.5</v>
      </c>
      <c r="L198" s="19">
        <f>SUM(F198:K198)</f>
        <v>13467806.550000001</v>
      </c>
      <c r="M198" s="8"/>
      <c r="N198" s="266"/>
    </row>
    <row r="199" spans="1:14" s="3" customFormat="1" ht="12.2" customHeight="1" x14ac:dyDescent="0.15">
      <c r="A199" s="1" t="s">
        <v>439</v>
      </c>
      <c r="B199" s="2" t="s">
        <v>341</v>
      </c>
      <c r="C199" s="2" t="s">
        <v>291</v>
      </c>
      <c r="D199" s="2" t="s">
        <v>431</v>
      </c>
      <c r="E199" s="6">
        <v>1200</v>
      </c>
      <c r="F199" s="18">
        <v>3007477.31</v>
      </c>
      <c r="G199" s="18">
        <v>1443227.29</v>
      </c>
      <c r="H199" s="18">
        <v>1111241.57</v>
      </c>
      <c r="I199" s="18">
        <v>12988.21</v>
      </c>
      <c r="J199" s="18">
        <v>3832.37</v>
      </c>
      <c r="K199" s="18">
        <v>948.57</v>
      </c>
      <c r="L199" s="19">
        <f>SUM(F199:K199)</f>
        <v>5579715.3200000003</v>
      </c>
      <c r="M199" s="8"/>
      <c r="N199" s="266"/>
    </row>
    <row r="200" spans="1:14" s="3" customFormat="1" ht="12.2" customHeight="1" x14ac:dyDescent="0.15">
      <c r="A200" s="1" t="s">
        <v>440</v>
      </c>
      <c r="B200" s="2" t="s">
        <v>341</v>
      </c>
      <c r="C200" s="2" t="s">
        <v>292</v>
      </c>
      <c r="D200" s="2" t="s">
        <v>431</v>
      </c>
      <c r="E200" s="6">
        <v>1300</v>
      </c>
      <c r="F200" s="18"/>
      <c r="G200" s="18"/>
      <c r="H200" s="18"/>
      <c r="I200" s="18">
        <v>27422.720000000001</v>
      </c>
      <c r="J200" s="18">
        <v>24247.72</v>
      </c>
      <c r="K200" s="18"/>
      <c r="L200" s="19">
        <f>SUM(F200:K200)</f>
        <v>51670.44</v>
      </c>
      <c r="M200" s="8"/>
      <c r="N200" s="266"/>
    </row>
    <row r="201" spans="1:14" s="3" customFormat="1" ht="12.2" customHeight="1" x14ac:dyDescent="0.15">
      <c r="A201" s="1" t="s">
        <v>441</v>
      </c>
      <c r="B201" s="2" t="s">
        <v>341</v>
      </c>
      <c r="C201" s="2" t="s">
        <v>293</v>
      </c>
      <c r="D201" s="2" t="s">
        <v>431</v>
      </c>
      <c r="E201" s="6">
        <v>1400</v>
      </c>
      <c r="F201" s="18">
        <v>178675</v>
      </c>
      <c r="G201" s="18">
        <v>85751.26</v>
      </c>
      <c r="H201" s="18">
        <v>7812</v>
      </c>
      <c r="I201" s="18">
        <v>7560.5</v>
      </c>
      <c r="J201" s="18"/>
      <c r="K201" s="18">
        <v>2480</v>
      </c>
      <c r="L201" s="19">
        <f>SUM(F201:K201)</f>
        <v>282278.76</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1776459.64</v>
      </c>
      <c r="G203" s="18">
        <v>851665.66</v>
      </c>
      <c r="H203" s="18">
        <v>171084.83</v>
      </c>
      <c r="I203" s="18">
        <v>32455.13</v>
      </c>
      <c r="J203" s="18">
        <v>26205.74</v>
      </c>
      <c r="K203" s="18">
        <v>1051.81</v>
      </c>
      <c r="L203" s="19">
        <f t="shared" ref="L203:L209" si="0">SUM(F203:K203)</f>
        <v>2858922.81</v>
      </c>
      <c r="M203" s="8"/>
      <c r="N203" s="266"/>
    </row>
    <row r="204" spans="1:14" s="3" customFormat="1" ht="12.2" customHeight="1" x14ac:dyDescent="0.15">
      <c r="A204" s="1" t="s">
        <v>443</v>
      </c>
      <c r="B204" s="2" t="s">
        <v>341</v>
      </c>
      <c r="C204" s="2" t="s">
        <v>295</v>
      </c>
      <c r="D204" s="2" t="s">
        <v>431</v>
      </c>
      <c r="E204" s="6">
        <v>2200</v>
      </c>
      <c r="F204" s="18">
        <v>595490.34</v>
      </c>
      <c r="G204" s="18">
        <v>355900.15</v>
      </c>
      <c r="H204" s="18">
        <v>63770.98</v>
      </c>
      <c r="I204" s="18">
        <v>315726.81</v>
      </c>
      <c r="J204" s="18">
        <v>310067.77</v>
      </c>
      <c r="K204" s="18">
        <v>709.24</v>
      </c>
      <c r="L204" s="19">
        <f t="shared" si="0"/>
        <v>1641665.29</v>
      </c>
      <c r="M204" s="8"/>
      <c r="N204" s="266"/>
    </row>
    <row r="205" spans="1:14" s="3" customFormat="1" ht="12.2" customHeight="1" x14ac:dyDescent="0.15">
      <c r="A205" s="1" t="s">
        <v>444</v>
      </c>
      <c r="B205" s="2" t="s">
        <v>341</v>
      </c>
      <c r="C205" s="2" t="s">
        <v>296</v>
      </c>
      <c r="D205" s="2" t="s">
        <v>431</v>
      </c>
      <c r="E205" s="6">
        <v>2300</v>
      </c>
      <c r="F205" s="18">
        <v>878498.7</v>
      </c>
      <c r="G205" s="18">
        <v>421279.06</v>
      </c>
      <c r="H205" s="18">
        <v>93011.81</v>
      </c>
      <c r="I205" s="18">
        <v>16755.080000000002</v>
      </c>
      <c r="J205" s="18">
        <v>3595.25</v>
      </c>
      <c r="K205" s="18">
        <v>20518.509999999998</v>
      </c>
      <c r="L205" s="19">
        <f t="shared" si="0"/>
        <v>1433658.4100000001</v>
      </c>
      <c r="M205" s="8"/>
      <c r="N205" s="266"/>
    </row>
    <row r="206" spans="1:14" s="3" customFormat="1" ht="12.2" customHeight="1" x14ac:dyDescent="0.15">
      <c r="A206" s="1" t="s">
        <v>445</v>
      </c>
      <c r="B206" s="2" t="s">
        <v>341</v>
      </c>
      <c r="C206" s="2" t="s">
        <v>297</v>
      </c>
      <c r="D206" s="2" t="s">
        <v>431</v>
      </c>
      <c r="E206" s="6">
        <v>2400</v>
      </c>
      <c r="F206" s="18">
        <v>982771.87</v>
      </c>
      <c r="G206" s="18">
        <v>471091.29</v>
      </c>
      <c r="H206" s="18">
        <v>77603.490000000005</v>
      </c>
      <c r="I206" s="18">
        <v>16372.92</v>
      </c>
      <c r="J206" s="18">
        <v>2996.7</v>
      </c>
      <c r="K206" s="18">
        <v>12367.69</v>
      </c>
      <c r="L206" s="19">
        <f t="shared" si="0"/>
        <v>1563203.9599999997</v>
      </c>
      <c r="M206" s="8"/>
      <c r="N206" s="266"/>
    </row>
    <row r="207" spans="1:14" s="3" customFormat="1" ht="12.2" customHeight="1" x14ac:dyDescent="0.15">
      <c r="A207" s="1" t="s">
        <v>446</v>
      </c>
      <c r="B207" s="2" t="s">
        <v>341</v>
      </c>
      <c r="C207" s="2" t="s">
        <v>298</v>
      </c>
      <c r="D207" s="2" t="s">
        <v>431</v>
      </c>
      <c r="E207" s="6">
        <v>2500</v>
      </c>
      <c r="F207" s="18">
        <v>296978.09000000003</v>
      </c>
      <c r="G207" s="18">
        <v>142333.01</v>
      </c>
      <c r="H207" s="18">
        <v>10644.88</v>
      </c>
      <c r="I207" s="18">
        <v>3502.33</v>
      </c>
      <c r="J207" s="18"/>
      <c r="K207" s="18">
        <v>4690.9799999999996</v>
      </c>
      <c r="L207" s="19">
        <f t="shared" si="0"/>
        <v>458149.29000000004</v>
      </c>
      <c r="M207" s="8"/>
      <c r="N207" s="266"/>
    </row>
    <row r="208" spans="1:14" s="3" customFormat="1" ht="12.2" customHeight="1" x14ac:dyDescent="0.15">
      <c r="A208" s="1" t="s">
        <v>447</v>
      </c>
      <c r="B208" s="2" t="s">
        <v>341</v>
      </c>
      <c r="C208" s="2" t="s">
        <v>299</v>
      </c>
      <c r="D208" s="2" t="s">
        <v>431</v>
      </c>
      <c r="E208" s="6">
        <v>2600</v>
      </c>
      <c r="F208" s="18">
        <v>734282.23</v>
      </c>
      <c r="G208" s="18">
        <v>351941.54</v>
      </c>
      <c r="H208" s="18">
        <v>1212876.8</v>
      </c>
      <c r="I208" s="18">
        <v>575920.41</v>
      </c>
      <c r="J208" s="18">
        <v>45061.57</v>
      </c>
      <c r="K208" s="18"/>
      <c r="L208" s="19">
        <f t="shared" si="0"/>
        <v>2920082.5500000003</v>
      </c>
      <c r="M208" s="8"/>
      <c r="N208" s="266"/>
    </row>
    <row r="209" spans="1:14" s="3" customFormat="1" ht="12.2" customHeight="1" x14ac:dyDescent="0.15">
      <c r="A209" s="1" t="s">
        <v>448</v>
      </c>
      <c r="B209" s="2" t="s">
        <v>341</v>
      </c>
      <c r="C209" s="2" t="s">
        <v>300</v>
      </c>
      <c r="D209" s="2" t="s">
        <v>431</v>
      </c>
      <c r="E209" s="6">
        <v>2700</v>
      </c>
      <c r="F209" s="18"/>
      <c r="G209" s="18"/>
      <c r="H209" s="18">
        <v>1532428.83</v>
      </c>
      <c r="I209" s="18"/>
      <c r="J209" s="18"/>
      <c r="K209" s="18"/>
      <c r="L209" s="19">
        <f t="shared" si="0"/>
        <v>1532428.83</v>
      </c>
      <c r="M209" s="8"/>
      <c r="N209" s="266"/>
    </row>
    <row r="210" spans="1:14" s="3" customFormat="1" ht="12.2" customHeight="1" x14ac:dyDescent="0.15">
      <c r="A210" s="1" t="s">
        <v>449</v>
      </c>
      <c r="B210" s="2" t="s">
        <v>341</v>
      </c>
      <c r="C210" s="2" t="s">
        <v>343</v>
      </c>
      <c r="D210" s="2" t="s">
        <v>431</v>
      </c>
      <c r="E210" s="6">
        <v>2800</v>
      </c>
      <c r="F210" s="18"/>
      <c r="G210" s="18"/>
      <c r="H210" s="18">
        <v>24988.67</v>
      </c>
      <c r="I210" s="18"/>
      <c r="J210" s="18"/>
      <c r="K210" s="18"/>
      <c r="L210" s="19">
        <f>SUM(F210:K210)</f>
        <v>24988.67</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17253502.719999999</v>
      </c>
      <c r="G212" s="41">
        <f t="shared" si="1"/>
        <v>8342430.9699999997</v>
      </c>
      <c r="H212" s="41">
        <f t="shared" si="1"/>
        <v>4327065.4400000004</v>
      </c>
      <c r="I212" s="41">
        <f t="shared" si="1"/>
        <v>1365770.83</v>
      </c>
      <c r="J212" s="41">
        <f t="shared" si="1"/>
        <v>480216.62000000005</v>
      </c>
      <c r="K212" s="41">
        <f t="shared" si="1"/>
        <v>45584.3</v>
      </c>
      <c r="L212" s="41">
        <f t="shared" si="1"/>
        <v>31814570.880000003</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4297301.67</v>
      </c>
      <c r="G234" s="18">
        <v>2169663.14</v>
      </c>
      <c r="H234" s="18">
        <v>10618.63</v>
      </c>
      <c r="I234" s="18">
        <v>179603.1</v>
      </c>
      <c r="J234" s="18">
        <v>62452.81</v>
      </c>
      <c r="K234" s="18">
        <v>13447.95</v>
      </c>
      <c r="L234" s="19">
        <f>SUM(F234:K234)</f>
        <v>6733087.2999999998</v>
      </c>
      <c r="M234" s="8"/>
      <c r="N234" s="266"/>
    </row>
    <row r="235" spans="1:14" s="3" customFormat="1" ht="12.2" customHeight="1" x14ac:dyDescent="0.15">
      <c r="A235" s="1" t="s">
        <v>439</v>
      </c>
      <c r="B235" s="2" t="s">
        <v>350</v>
      </c>
      <c r="C235" s="2" t="s">
        <v>291</v>
      </c>
      <c r="D235" s="2" t="s">
        <v>431</v>
      </c>
      <c r="E235" s="6">
        <v>1200</v>
      </c>
      <c r="F235" s="18">
        <v>1293799.3400000001</v>
      </c>
      <c r="G235" s="18">
        <v>654073.66</v>
      </c>
      <c r="H235" s="18">
        <v>1004971.84</v>
      </c>
      <c r="I235" s="18">
        <v>6912.04</v>
      </c>
      <c r="J235" s="18">
        <v>9743.93</v>
      </c>
      <c r="K235" s="18">
        <v>467.21</v>
      </c>
      <c r="L235" s="19">
        <f>SUM(F235:K235)</f>
        <v>2969968.02</v>
      </c>
      <c r="M235" s="8"/>
      <c r="N235" s="266"/>
    </row>
    <row r="236" spans="1:14" s="3" customFormat="1" ht="12.2" customHeight="1" x14ac:dyDescent="0.15">
      <c r="A236" s="1" t="s">
        <v>440</v>
      </c>
      <c r="B236" s="2" t="s">
        <v>350</v>
      </c>
      <c r="C236" s="2" t="s">
        <v>292</v>
      </c>
      <c r="D236" s="2" t="s">
        <v>431</v>
      </c>
      <c r="E236" s="6">
        <v>1300</v>
      </c>
      <c r="F236" s="18"/>
      <c r="G236" s="18"/>
      <c r="H236" s="18">
        <v>188162.9</v>
      </c>
      <c r="I236" s="18"/>
      <c r="J236" s="18"/>
      <c r="K236" s="18"/>
      <c r="L236" s="19">
        <f>SUM(F236:K236)</f>
        <v>188162.9</v>
      </c>
      <c r="M236" s="8"/>
      <c r="N236" s="266"/>
    </row>
    <row r="237" spans="1:14" s="3" customFormat="1" ht="12.2" customHeight="1" x14ac:dyDescent="0.15">
      <c r="A237" s="1" t="s">
        <v>441</v>
      </c>
      <c r="B237" s="2" t="s">
        <v>350</v>
      </c>
      <c r="C237" s="2" t="s">
        <v>293</v>
      </c>
      <c r="D237" s="2" t="s">
        <v>431</v>
      </c>
      <c r="E237" s="6">
        <v>1400</v>
      </c>
      <c r="F237" s="18">
        <v>376767.57</v>
      </c>
      <c r="G237" s="18">
        <v>190226.05</v>
      </c>
      <c r="H237" s="18">
        <v>69163.509999999995</v>
      </c>
      <c r="I237" s="18">
        <v>22563.05</v>
      </c>
      <c r="J237" s="18">
        <v>21577.98</v>
      </c>
      <c r="K237" s="18">
        <v>81670.91</v>
      </c>
      <c r="L237" s="19">
        <f>SUM(F237:K237)</f>
        <v>761969.07000000007</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797970.21</v>
      </c>
      <c r="G239" s="18">
        <v>403035.4</v>
      </c>
      <c r="H239" s="18">
        <v>84779.86</v>
      </c>
      <c r="I239" s="18">
        <v>14177.49</v>
      </c>
      <c r="J239" s="18">
        <v>4931.2700000000004</v>
      </c>
      <c r="K239" s="18">
        <v>336.19</v>
      </c>
      <c r="L239" s="19">
        <f t="shared" ref="L239:L245" si="4">SUM(F239:K239)</f>
        <v>1305230.42</v>
      </c>
      <c r="M239" s="8"/>
      <c r="N239" s="266"/>
    </row>
    <row r="240" spans="1:14" s="3" customFormat="1" ht="12.2" customHeight="1" x14ac:dyDescent="0.15">
      <c r="A240" s="1" t="s">
        <v>443</v>
      </c>
      <c r="B240" s="2" t="s">
        <v>350</v>
      </c>
      <c r="C240" s="2" t="s">
        <v>295</v>
      </c>
      <c r="D240" s="2" t="s">
        <v>431</v>
      </c>
      <c r="E240" s="6">
        <v>2200</v>
      </c>
      <c r="F240" s="18">
        <v>247906.1</v>
      </c>
      <c r="G240" s="18">
        <v>159866.26999999999</v>
      </c>
      <c r="H240" s="18">
        <v>51608.61</v>
      </c>
      <c r="I240" s="18">
        <v>133884.48000000001</v>
      </c>
      <c r="J240" s="18">
        <v>382453.72</v>
      </c>
      <c r="K240" s="18">
        <v>349.32</v>
      </c>
      <c r="L240" s="19">
        <f t="shared" si="4"/>
        <v>976068.49999999988</v>
      </c>
      <c r="M240" s="8"/>
      <c r="N240" s="266"/>
    </row>
    <row r="241" spans="1:14" s="3" customFormat="1" ht="12.2" customHeight="1" x14ac:dyDescent="0.15">
      <c r="A241" s="1" t="s">
        <v>444</v>
      </c>
      <c r="B241" s="2" t="s">
        <v>350</v>
      </c>
      <c r="C241" s="2" t="s">
        <v>296</v>
      </c>
      <c r="D241" s="2" t="s">
        <v>431</v>
      </c>
      <c r="E241" s="6">
        <v>2300</v>
      </c>
      <c r="F241" s="18">
        <v>525417.68000000005</v>
      </c>
      <c r="G241" s="18">
        <v>265277.95</v>
      </c>
      <c r="H241" s="18">
        <v>45811.78</v>
      </c>
      <c r="I241" s="18">
        <v>8252.5</v>
      </c>
      <c r="J241" s="18">
        <v>1770.79</v>
      </c>
      <c r="K241" s="18">
        <v>10106.129999999999</v>
      </c>
      <c r="L241" s="19">
        <f t="shared" si="4"/>
        <v>856636.83000000019</v>
      </c>
      <c r="M241" s="8"/>
      <c r="N241" s="266"/>
    </row>
    <row r="242" spans="1:14" s="3" customFormat="1" ht="12.2" customHeight="1" x14ac:dyDescent="0.15">
      <c r="A242" s="1" t="s">
        <v>445</v>
      </c>
      <c r="B242" s="2" t="s">
        <v>350</v>
      </c>
      <c r="C242" s="2" t="s">
        <v>297</v>
      </c>
      <c r="D242" s="2" t="s">
        <v>431</v>
      </c>
      <c r="E242" s="6">
        <v>2400</v>
      </c>
      <c r="F242" s="18">
        <v>439069.34</v>
      </c>
      <c r="G242" s="18">
        <v>221681.57</v>
      </c>
      <c r="H242" s="18">
        <v>34722.870000000003</v>
      </c>
      <c r="I242" s="18">
        <v>1653.79</v>
      </c>
      <c r="J242" s="18">
        <v>1500</v>
      </c>
      <c r="K242" s="18">
        <v>22120.55</v>
      </c>
      <c r="L242" s="19">
        <f t="shared" si="4"/>
        <v>720748.12000000011</v>
      </c>
      <c r="M242" s="8"/>
      <c r="N242" s="266"/>
    </row>
    <row r="243" spans="1:14" s="3" customFormat="1" ht="12.2" customHeight="1" x14ac:dyDescent="0.15">
      <c r="A243" s="1" t="s">
        <v>446</v>
      </c>
      <c r="B243" s="2" t="s">
        <v>350</v>
      </c>
      <c r="C243" s="2" t="s">
        <v>298</v>
      </c>
      <c r="D243" s="2" t="s">
        <v>431</v>
      </c>
      <c r="E243" s="6">
        <v>2500</v>
      </c>
      <c r="F243" s="18">
        <v>146272.79</v>
      </c>
      <c r="G243" s="18">
        <v>73851.62</v>
      </c>
      <c r="H243" s="18">
        <v>5243</v>
      </c>
      <c r="I243" s="18">
        <v>1725.03</v>
      </c>
      <c r="J243" s="18"/>
      <c r="K243" s="18">
        <v>2310.0300000000002</v>
      </c>
      <c r="L243" s="19">
        <f t="shared" si="4"/>
        <v>229402.47</v>
      </c>
      <c r="M243" s="8"/>
      <c r="N243" s="266"/>
    </row>
    <row r="244" spans="1:14" s="3" customFormat="1" ht="12.2" customHeight="1" x14ac:dyDescent="0.15">
      <c r="A244" s="1" t="s">
        <v>447</v>
      </c>
      <c r="B244" s="2" t="s">
        <v>350</v>
      </c>
      <c r="C244" s="2" t="s">
        <v>299</v>
      </c>
      <c r="D244" s="2" t="s">
        <v>431</v>
      </c>
      <c r="E244" s="6">
        <v>2600</v>
      </c>
      <c r="F244" s="18">
        <v>411504.67</v>
      </c>
      <c r="G244" s="18">
        <v>207764.45</v>
      </c>
      <c r="H244" s="18">
        <v>563917.93000000005</v>
      </c>
      <c r="I244" s="18">
        <v>361817.87</v>
      </c>
      <c r="J244" s="18">
        <v>35394.639999999999</v>
      </c>
      <c r="K244" s="18"/>
      <c r="L244" s="19">
        <f t="shared" si="4"/>
        <v>1580399.5599999998</v>
      </c>
      <c r="M244" s="8"/>
      <c r="N244" s="266"/>
    </row>
    <row r="245" spans="1:14" s="3" customFormat="1" ht="12.2" customHeight="1" x14ac:dyDescent="0.15">
      <c r="A245" s="1" t="s">
        <v>448</v>
      </c>
      <c r="B245" s="2" t="s">
        <v>350</v>
      </c>
      <c r="C245" s="2" t="s">
        <v>300</v>
      </c>
      <c r="D245" s="2" t="s">
        <v>431</v>
      </c>
      <c r="E245" s="6">
        <v>2700</v>
      </c>
      <c r="F245" s="18"/>
      <c r="G245" s="18"/>
      <c r="H245" s="18">
        <v>1213814.56</v>
      </c>
      <c r="I245" s="18"/>
      <c r="J245" s="18"/>
      <c r="K245" s="18"/>
      <c r="L245" s="19">
        <f t="shared" si="4"/>
        <v>1213814.56</v>
      </c>
      <c r="M245" s="8"/>
      <c r="N245" s="266"/>
    </row>
    <row r="246" spans="1:14" s="3" customFormat="1" ht="12.2" customHeight="1" x14ac:dyDescent="0.15">
      <c r="A246" s="1" t="s">
        <v>449</v>
      </c>
      <c r="B246" s="2" t="s">
        <v>350</v>
      </c>
      <c r="C246" s="2" t="s">
        <v>343</v>
      </c>
      <c r="D246" s="2" t="s">
        <v>431</v>
      </c>
      <c r="E246" s="6">
        <v>2800</v>
      </c>
      <c r="F246" s="18"/>
      <c r="G246" s="18"/>
      <c r="H246" s="18">
        <v>12307.85</v>
      </c>
      <c r="I246" s="18"/>
      <c r="J246" s="18"/>
      <c r="K246" s="18"/>
      <c r="L246" s="19">
        <f>SUM(F246:K246)</f>
        <v>12307.85</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8536009.3699999992</v>
      </c>
      <c r="G248" s="41">
        <f t="shared" si="5"/>
        <v>4345440.1100000003</v>
      </c>
      <c r="H248" s="41">
        <f t="shared" si="5"/>
        <v>3285123.3400000003</v>
      </c>
      <c r="I248" s="41">
        <f t="shared" si="5"/>
        <v>730589.35000000009</v>
      </c>
      <c r="J248" s="41">
        <f t="shared" si="5"/>
        <v>519825.13999999996</v>
      </c>
      <c r="K248" s="41">
        <f t="shared" si="5"/>
        <v>130808.29000000002</v>
      </c>
      <c r="L248" s="41">
        <f t="shared" si="5"/>
        <v>17547795.600000001</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35179</v>
      </c>
      <c r="I256" s="18"/>
      <c r="J256" s="18"/>
      <c r="K256" s="18"/>
      <c r="L256" s="19">
        <f t="shared" si="6"/>
        <v>35179</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35179</v>
      </c>
      <c r="I257" s="41">
        <f t="shared" si="7"/>
        <v>0</v>
      </c>
      <c r="J257" s="41">
        <f t="shared" si="7"/>
        <v>0</v>
      </c>
      <c r="K257" s="41">
        <f t="shared" si="7"/>
        <v>0</v>
      </c>
      <c r="L257" s="41">
        <f>SUM(F257:K257)</f>
        <v>35179</v>
      </c>
      <c r="M257" s="8"/>
      <c r="N257" s="266"/>
    </row>
    <row r="258" spans="1:14" s="3" customFormat="1" ht="12.2" customHeight="1" thickTop="1" x14ac:dyDescent="0.15">
      <c r="A258" s="38" t="s">
        <v>462</v>
      </c>
      <c r="B258" s="40">
        <v>10</v>
      </c>
      <c r="C258" s="40">
        <v>8</v>
      </c>
      <c r="D258" s="39" t="s">
        <v>431</v>
      </c>
      <c r="E258" s="40"/>
      <c r="F258" s="41">
        <f t="shared" ref="F258:L258" si="8">F212+F230+F248+F257</f>
        <v>25789512.089999996</v>
      </c>
      <c r="G258" s="41">
        <f t="shared" si="8"/>
        <v>12687871.08</v>
      </c>
      <c r="H258" s="41">
        <f t="shared" si="8"/>
        <v>7647367.7800000012</v>
      </c>
      <c r="I258" s="41">
        <f t="shared" si="8"/>
        <v>2096360.1800000002</v>
      </c>
      <c r="J258" s="41">
        <f t="shared" si="8"/>
        <v>1000041.76</v>
      </c>
      <c r="K258" s="41">
        <f t="shared" si="8"/>
        <v>176392.59000000003</v>
      </c>
      <c r="L258" s="41">
        <f t="shared" si="8"/>
        <v>49397545.480000004</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3405000</v>
      </c>
      <c r="L261" s="19">
        <f>SUM(F261:K261)</f>
        <v>3405000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1757078</v>
      </c>
      <c r="L262" s="19">
        <f>SUM(F262:K262)</f>
        <v>1757078</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14939.09</v>
      </c>
      <c r="L264" s="19">
        <f>SUM(F264:K264)</f>
        <v>14939.09</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100000</v>
      </c>
      <c r="L267" s="19">
        <f t="shared" si="9"/>
        <v>100000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5277017.09</v>
      </c>
      <c r="L271" s="41">
        <f t="shared" si="9"/>
        <v>5277017.09</v>
      </c>
      <c r="M271" s="8"/>
      <c r="N271" s="266"/>
    </row>
    <row r="272" spans="1:14" s="34" customFormat="1" ht="12.2" customHeight="1" thickTop="1" x14ac:dyDescent="0.2">
      <c r="A272" s="43" t="s">
        <v>464</v>
      </c>
      <c r="B272" s="40">
        <v>10</v>
      </c>
      <c r="C272" s="40">
        <v>18</v>
      </c>
      <c r="D272" s="39" t="s">
        <v>431</v>
      </c>
      <c r="E272" s="40"/>
      <c r="F272" s="42">
        <f t="shared" ref="F272:L272" si="11">F258+F271</f>
        <v>25789512.089999996</v>
      </c>
      <c r="G272" s="42">
        <f t="shared" si="11"/>
        <v>12687871.08</v>
      </c>
      <c r="H272" s="42">
        <f t="shared" si="11"/>
        <v>7647367.7800000012</v>
      </c>
      <c r="I272" s="42">
        <f t="shared" si="11"/>
        <v>2096360.1800000002</v>
      </c>
      <c r="J272" s="42">
        <f t="shared" si="11"/>
        <v>1000041.76</v>
      </c>
      <c r="K272" s="42">
        <f t="shared" si="11"/>
        <v>5453409.6799999997</v>
      </c>
      <c r="L272" s="42">
        <f t="shared" si="11"/>
        <v>54674562.570000008</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24505.25</v>
      </c>
      <c r="G277" s="18">
        <v>1874.65</v>
      </c>
      <c r="H277" s="18"/>
      <c r="I277" s="18">
        <v>21150.639999999999</v>
      </c>
      <c r="J277" s="18">
        <v>11148.75</v>
      </c>
      <c r="K277" s="18">
        <v>597.70000000000005</v>
      </c>
      <c r="L277" s="19">
        <f>SUM(F277:K277)</f>
        <v>59276.99</v>
      </c>
      <c r="M277" s="8"/>
      <c r="N277" s="266"/>
    </row>
    <row r="278" spans="1:14" s="3" customFormat="1" ht="12.2" customHeight="1" x14ac:dyDescent="0.15">
      <c r="A278" s="1" t="s">
        <v>439</v>
      </c>
      <c r="B278" s="2" t="s">
        <v>357</v>
      </c>
      <c r="C278" s="2" t="s">
        <v>291</v>
      </c>
      <c r="D278" s="2" t="s">
        <v>431</v>
      </c>
      <c r="E278" s="6">
        <v>1200</v>
      </c>
      <c r="F278" s="18">
        <v>261110.66</v>
      </c>
      <c r="G278" s="18">
        <v>140081.20000000001</v>
      </c>
      <c r="H278" s="18">
        <v>108541.31</v>
      </c>
      <c r="I278" s="18">
        <v>3383.5</v>
      </c>
      <c r="J278" s="18"/>
      <c r="K278" s="18"/>
      <c r="L278" s="19">
        <f>SUM(F278:K278)</f>
        <v>513116.67</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5734</v>
      </c>
      <c r="G280" s="18">
        <v>870.12</v>
      </c>
      <c r="H280" s="18"/>
      <c r="I280" s="18"/>
      <c r="J280" s="18"/>
      <c r="K280" s="18">
        <v>327</v>
      </c>
      <c r="L280" s="19">
        <f>SUM(F280:K280)</f>
        <v>6931.12</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v>569.46</v>
      </c>
      <c r="J282" s="18"/>
      <c r="K282" s="18"/>
      <c r="L282" s="19">
        <f t="shared" ref="L282:L288" si="12">SUM(F282:K282)</f>
        <v>569.46</v>
      </c>
      <c r="M282" s="8"/>
      <c r="N282" s="266"/>
    </row>
    <row r="283" spans="1:14" s="3" customFormat="1" ht="12.2" customHeight="1" x14ac:dyDescent="0.15">
      <c r="A283" s="1" t="s">
        <v>443</v>
      </c>
      <c r="B283" s="2" t="s">
        <v>357</v>
      </c>
      <c r="C283" s="2" t="s">
        <v>295</v>
      </c>
      <c r="D283" s="2" t="s">
        <v>431</v>
      </c>
      <c r="E283" s="6">
        <v>2200</v>
      </c>
      <c r="F283" s="18"/>
      <c r="G283" s="18"/>
      <c r="H283" s="18">
        <v>13432.59</v>
      </c>
      <c r="I283" s="18">
        <v>25160.95</v>
      </c>
      <c r="J283" s="18"/>
      <c r="K283" s="18"/>
      <c r="L283" s="19">
        <f t="shared" si="12"/>
        <v>38593.54</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v>7842.95</v>
      </c>
      <c r="J285" s="18"/>
      <c r="K285" s="18"/>
      <c r="L285" s="19">
        <f t="shared" si="12"/>
        <v>7842.95</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v>15360</v>
      </c>
      <c r="I287" s="18"/>
      <c r="J287" s="18"/>
      <c r="K287" s="18"/>
      <c r="L287" s="19">
        <f t="shared" si="12"/>
        <v>15360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291349.91000000003</v>
      </c>
      <c r="G291" s="42">
        <f t="shared" si="13"/>
        <v>142825.97</v>
      </c>
      <c r="H291" s="42">
        <f t="shared" si="13"/>
        <v>137333.9</v>
      </c>
      <c r="I291" s="42">
        <f t="shared" si="13"/>
        <v>58107.5</v>
      </c>
      <c r="J291" s="42">
        <f t="shared" si="13"/>
        <v>11148.75</v>
      </c>
      <c r="K291" s="42">
        <f t="shared" si="13"/>
        <v>924.7</v>
      </c>
      <c r="L291" s="41">
        <f t="shared" si="13"/>
        <v>641690.73</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462</v>
      </c>
      <c r="G315" s="18">
        <v>117.48</v>
      </c>
      <c r="H315" s="18"/>
      <c r="I315" s="18">
        <v>14500.17</v>
      </c>
      <c r="J315" s="18"/>
      <c r="K315" s="18">
        <v>4723.53</v>
      </c>
      <c r="L315" s="19">
        <f>SUM(F315:K315)</f>
        <v>19803.18</v>
      </c>
      <c r="M315" s="8"/>
      <c r="N315" s="266"/>
    </row>
    <row r="316" spans="1:14" s="3" customFormat="1" ht="12.2" customHeight="1" x14ac:dyDescent="0.15">
      <c r="A316" s="1" t="s">
        <v>439</v>
      </c>
      <c r="B316" s="2" t="s">
        <v>359</v>
      </c>
      <c r="C316" s="2" t="s">
        <v>291</v>
      </c>
      <c r="D316" s="2" t="s">
        <v>431</v>
      </c>
      <c r="E316" s="6">
        <v>1200</v>
      </c>
      <c r="F316" s="18">
        <v>27734.85</v>
      </c>
      <c r="G316" s="18">
        <v>15362.86</v>
      </c>
      <c r="H316" s="18">
        <v>55287.94</v>
      </c>
      <c r="I316" s="18">
        <v>1666.5</v>
      </c>
      <c r="J316" s="18"/>
      <c r="K316" s="18"/>
      <c r="L316" s="19">
        <f>SUM(F316:K316)</f>
        <v>100052.15</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v>9501</v>
      </c>
      <c r="G318" s="18">
        <v>6224.47</v>
      </c>
      <c r="H318" s="18"/>
      <c r="I318" s="18">
        <v>1192</v>
      </c>
      <c r="J318" s="18"/>
      <c r="K318" s="18">
        <v>540</v>
      </c>
      <c r="L318" s="19">
        <f>SUM(F318:K318)</f>
        <v>17457.47</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972.42</v>
      </c>
      <c r="G320" s="18">
        <v>203.88</v>
      </c>
      <c r="H320" s="18"/>
      <c r="I320" s="18">
        <v>280.48</v>
      </c>
      <c r="J320" s="18"/>
      <c r="K320" s="18">
        <v>42020</v>
      </c>
      <c r="L320" s="19">
        <f t="shared" ref="L320:L326" si="16">SUM(F320:K320)</f>
        <v>43476.78</v>
      </c>
      <c r="M320" s="8"/>
      <c r="N320" s="266"/>
    </row>
    <row r="321" spans="1:14" s="3" customFormat="1" ht="12.2" customHeight="1" x14ac:dyDescent="0.15">
      <c r="A321" s="1" t="s">
        <v>443</v>
      </c>
      <c r="B321" s="2" t="s">
        <v>359</v>
      </c>
      <c r="C321" s="2" t="s">
        <v>295</v>
      </c>
      <c r="D321" s="2" t="s">
        <v>431</v>
      </c>
      <c r="E321" s="6">
        <v>2200</v>
      </c>
      <c r="F321" s="18">
        <v>12666.5</v>
      </c>
      <c r="G321" s="18">
        <v>3223.63</v>
      </c>
      <c r="H321" s="18">
        <v>4177.99</v>
      </c>
      <c r="I321" s="18">
        <v>15997.83</v>
      </c>
      <c r="J321" s="18">
        <v>4433.6000000000004</v>
      </c>
      <c r="K321" s="18"/>
      <c r="L321" s="19">
        <f t="shared" si="16"/>
        <v>40499.550000000003</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v>893.61</v>
      </c>
      <c r="J323" s="18"/>
      <c r="K323" s="18"/>
      <c r="L323" s="19">
        <f t="shared" si="16"/>
        <v>893.61</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v>203044</v>
      </c>
      <c r="I325" s="18">
        <v>878.66</v>
      </c>
      <c r="J325" s="18"/>
      <c r="K325" s="18"/>
      <c r="L325" s="19">
        <f t="shared" si="16"/>
        <v>203922.66</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51336.77</v>
      </c>
      <c r="G329" s="42">
        <f t="shared" si="17"/>
        <v>25132.320000000003</v>
      </c>
      <c r="H329" s="42">
        <f t="shared" si="17"/>
        <v>262509.93</v>
      </c>
      <c r="I329" s="42">
        <f t="shared" si="17"/>
        <v>35409.25</v>
      </c>
      <c r="J329" s="42">
        <f t="shared" si="17"/>
        <v>4433.6000000000004</v>
      </c>
      <c r="K329" s="42">
        <f t="shared" si="17"/>
        <v>47283.53</v>
      </c>
      <c r="L329" s="41">
        <f t="shared" si="17"/>
        <v>426105.4</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342686.68000000005</v>
      </c>
      <c r="G339" s="41">
        <f t="shared" si="20"/>
        <v>167958.29</v>
      </c>
      <c r="H339" s="41">
        <f t="shared" si="20"/>
        <v>399843.82999999996</v>
      </c>
      <c r="I339" s="41">
        <f t="shared" si="20"/>
        <v>93516.75</v>
      </c>
      <c r="J339" s="41">
        <f t="shared" si="20"/>
        <v>15582.35</v>
      </c>
      <c r="K339" s="41">
        <f t="shared" si="20"/>
        <v>48208.229999999996</v>
      </c>
      <c r="L339" s="41">
        <f t="shared" si="20"/>
        <v>1067796.1299999999</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342686.68000000005</v>
      </c>
      <c r="G353" s="41">
        <f>G339</f>
        <v>167958.29</v>
      </c>
      <c r="H353" s="41">
        <f>H339</f>
        <v>399843.82999999996</v>
      </c>
      <c r="I353" s="41">
        <f>I339</f>
        <v>93516.75</v>
      </c>
      <c r="J353" s="41">
        <f>J339</f>
        <v>15582.35</v>
      </c>
      <c r="K353" s="47">
        <f>K339+K352</f>
        <v>48208.229999999996</v>
      </c>
      <c r="L353" s="41">
        <f>L339+L352</f>
        <v>1067796.1299999999</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216162.93</v>
      </c>
      <c r="G359" s="18">
        <v>56694.99</v>
      </c>
      <c r="H359" s="18">
        <v>1789.31</v>
      </c>
      <c r="I359" s="18">
        <v>173239.55</v>
      </c>
      <c r="J359" s="18">
        <v>10301.32</v>
      </c>
      <c r="K359" s="18">
        <v>261.3</v>
      </c>
      <c r="L359" s="13">
        <f>SUM(F359:K359)</f>
        <v>458449.39999999997</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v>114266.58</v>
      </c>
      <c r="G361" s="18">
        <v>27924.400000000001</v>
      </c>
      <c r="H361" s="18">
        <v>2274.0100000000002</v>
      </c>
      <c r="I361" s="18">
        <v>124390.35</v>
      </c>
      <c r="J361" s="18"/>
      <c r="K361" s="18">
        <v>128.69999999999999</v>
      </c>
      <c r="L361" s="19">
        <f>SUM(F361:K361)</f>
        <v>268984.04000000004</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330429.51</v>
      </c>
      <c r="G363" s="47">
        <f t="shared" si="22"/>
        <v>84619.39</v>
      </c>
      <c r="H363" s="47">
        <f t="shared" si="22"/>
        <v>4063.32</v>
      </c>
      <c r="I363" s="47">
        <f t="shared" si="22"/>
        <v>297629.90000000002</v>
      </c>
      <c r="J363" s="47">
        <f t="shared" si="22"/>
        <v>10301.32</v>
      </c>
      <c r="K363" s="47">
        <f t="shared" si="22"/>
        <v>390</v>
      </c>
      <c r="L363" s="47">
        <f t="shared" si="22"/>
        <v>727433.44</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160342.19</v>
      </c>
      <c r="G368" s="18"/>
      <c r="H368" s="18">
        <v>117210.99</v>
      </c>
      <c r="I368" s="56">
        <f>SUM(F368:H368)</f>
        <v>277553.18</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12897.36</v>
      </c>
      <c r="G369" s="63"/>
      <c r="H369" s="63">
        <v>7179.36</v>
      </c>
      <c r="I369" s="56">
        <f>SUM(F369:H369)</f>
        <v>20076.72</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173239.55</v>
      </c>
      <c r="G370" s="47">
        <f>SUM(G368:G369)</f>
        <v>0</v>
      </c>
      <c r="H370" s="47">
        <f>SUM(H368:H369)</f>
        <v>124390.35</v>
      </c>
      <c r="I370" s="47">
        <f>SUM(I368:I369)</f>
        <v>297629.90000000002</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v>2059</v>
      </c>
      <c r="I376" s="18"/>
      <c r="J376" s="18"/>
      <c r="K376" s="18"/>
      <c r="L376" s="13">
        <f t="shared" ref="L376:L382" si="23">SUM(F376:K376)</f>
        <v>2059</v>
      </c>
      <c r="M376" s="8"/>
      <c r="N376" s="266"/>
    </row>
    <row r="377" spans="1:14" s="3" customFormat="1" ht="12.2" customHeight="1" x14ac:dyDescent="0.15">
      <c r="A377" s="1" t="s">
        <v>546</v>
      </c>
      <c r="B377" s="2" t="s">
        <v>366</v>
      </c>
      <c r="C377" s="2" t="s">
        <v>300</v>
      </c>
      <c r="D377" s="2" t="s">
        <v>431</v>
      </c>
      <c r="E377" s="6">
        <v>4300</v>
      </c>
      <c r="F377" s="18"/>
      <c r="G377" s="18"/>
      <c r="H377" s="18">
        <v>118006</v>
      </c>
      <c r="I377" s="18"/>
      <c r="J377" s="18"/>
      <c r="K377" s="18"/>
      <c r="L377" s="13">
        <f t="shared" si="23"/>
        <v>118006</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v>5182615.5199999996</v>
      </c>
      <c r="I379" s="18"/>
      <c r="J379" s="18"/>
      <c r="K379" s="18"/>
      <c r="L379" s="13">
        <f t="shared" si="23"/>
        <v>5182615.5199999996</v>
      </c>
      <c r="M379" s="8"/>
      <c r="N379" s="266"/>
    </row>
    <row r="380" spans="1:14" s="3" customFormat="1" ht="12.2" customHeight="1" x14ac:dyDescent="0.15">
      <c r="A380" s="1" t="s">
        <v>549</v>
      </c>
      <c r="B380" s="2" t="s">
        <v>366</v>
      </c>
      <c r="C380" s="2" t="s">
        <v>345</v>
      </c>
      <c r="D380" s="2" t="s">
        <v>431</v>
      </c>
      <c r="E380" s="6">
        <v>4600</v>
      </c>
      <c r="F380" s="18"/>
      <c r="G380" s="18"/>
      <c r="H380" s="18"/>
      <c r="I380" s="18"/>
      <c r="J380" s="18">
        <v>892075.66</v>
      </c>
      <c r="K380" s="18"/>
      <c r="L380" s="13">
        <f t="shared" si="23"/>
        <v>892075.66</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4107</v>
      </c>
      <c r="L382" s="13">
        <f t="shared" si="23"/>
        <v>4107</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5302680.5199999996</v>
      </c>
      <c r="I383" s="41">
        <f t="shared" si="24"/>
        <v>0</v>
      </c>
      <c r="J383" s="47">
        <f t="shared" si="24"/>
        <v>892075.66</v>
      </c>
      <c r="K383" s="47">
        <f t="shared" si="24"/>
        <v>4107</v>
      </c>
      <c r="L383" s="47">
        <f t="shared" si="24"/>
        <v>6198863.1799999997</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v>17.54</v>
      </c>
      <c r="I393" s="18"/>
      <c r="J393" s="24" t="s">
        <v>288</v>
      </c>
      <c r="K393" s="24" t="s">
        <v>288</v>
      </c>
      <c r="L393" s="56">
        <f t="shared" si="25"/>
        <v>17.54</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17.54</v>
      </c>
      <c r="I394" s="65">
        <f>SUM(I388:I393)</f>
        <v>0</v>
      </c>
      <c r="J394" s="45" t="s">
        <v>288</v>
      </c>
      <c r="K394" s="45" t="s">
        <v>288</v>
      </c>
      <c r="L394" s="47">
        <f>SUM(L388:L393)</f>
        <v>17.54</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208.03</v>
      </c>
      <c r="I397" s="18"/>
      <c r="J397" s="24" t="s">
        <v>288</v>
      </c>
      <c r="K397" s="24" t="s">
        <v>288</v>
      </c>
      <c r="L397" s="56">
        <f t="shared" si="26"/>
        <v>208.03</v>
      </c>
      <c r="M397" s="8"/>
      <c r="N397" s="266"/>
    </row>
    <row r="398" spans="1:14" s="3" customFormat="1" ht="12.2" customHeight="1" x14ac:dyDescent="0.15">
      <c r="A398" s="79" t="s">
        <v>515</v>
      </c>
      <c r="B398" s="2" t="s">
        <v>381</v>
      </c>
      <c r="C398" s="6">
        <v>10</v>
      </c>
      <c r="D398" s="2" t="s">
        <v>432</v>
      </c>
      <c r="E398" s="6"/>
      <c r="F398" s="18"/>
      <c r="G398" s="18">
        <v>100000</v>
      </c>
      <c r="H398" s="18">
        <v>59.18</v>
      </c>
      <c r="I398" s="18"/>
      <c r="J398" s="24" t="s">
        <v>288</v>
      </c>
      <c r="K398" s="24" t="s">
        <v>288</v>
      </c>
      <c r="L398" s="56">
        <f t="shared" si="26"/>
        <v>100059.18</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100000</v>
      </c>
      <c r="H402" s="47">
        <f>SUM(H396:H401)</f>
        <v>267.20999999999998</v>
      </c>
      <c r="I402" s="47">
        <f>SUM(I396:I401)</f>
        <v>0</v>
      </c>
      <c r="J402" s="45" t="s">
        <v>288</v>
      </c>
      <c r="K402" s="45" t="s">
        <v>288</v>
      </c>
      <c r="L402" s="47">
        <f>SUM(L396:L401)</f>
        <v>100267.20999999999</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100000</v>
      </c>
      <c r="H409" s="47">
        <f>H394+H402+H408</f>
        <v>284.75</v>
      </c>
      <c r="I409" s="47">
        <f>I394+I402+I408</f>
        <v>0</v>
      </c>
      <c r="J409" s="24" t="s">
        <v>288</v>
      </c>
      <c r="K409" s="24" t="s">
        <v>288</v>
      </c>
      <c r="L409" s="47">
        <f>L394+L402+L408</f>
        <v>100284.74999999999</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v>617835.49</v>
      </c>
      <c r="I423" s="18"/>
      <c r="J423" s="18"/>
      <c r="K423" s="18"/>
      <c r="L423" s="56">
        <f t="shared" si="29"/>
        <v>617835.49</v>
      </c>
      <c r="M423" s="8"/>
      <c r="N423" s="266"/>
    </row>
    <row r="424" spans="1:21" s="3" customFormat="1" ht="12.2" customHeight="1" x14ac:dyDescent="0.15">
      <c r="A424" s="79" t="s">
        <v>515</v>
      </c>
      <c r="B424" s="6">
        <v>17</v>
      </c>
      <c r="C424" s="6">
        <v>10</v>
      </c>
      <c r="D424" s="2" t="s">
        <v>432</v>
      </c>
      <c r="E424" s="6"/>
      <c r="F424" s="18"/>
      <c r="G424" s="18"/>
      <c r="H424" s="18">
        <v>150000</v>
      </c>
      <c r="I424" s="18"/>
      <c r="J424" s="18"/>
      <c r="K424" s="18"/>
      <c r="L424" s="56">
        <f t="shared" si="29"/>
        <v>150000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767835.49</v>
      </c>
      <c r="I428" s="47">
        <f t="shared" si="30"/>
        <v>0</v>
      </c>
      <c r="J428" s="47">
        <f t="shared" si="30"/>
        <v>0</v>
      </c>
      <c r="K428" s="47">
        <f t="shared" si="30"/>
        <v>0</v>
      </c>
      <c r="L428" s="47">
        <f t="shared" si="30"/>
        <v>767835.49</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767835.49</v>
      </c>
      <c r="I435" s="47">
        <f t="shared" si="32"/>
        <v>0</v>
      </c>
      <c r="J435" s="47">
        <f t="shared" si="32"/>
        <v>0</v>
      </c>
      <c r="K435" s="47">
        <f t="shared" si="32"/>
        <v>0</v>
      </c>
      <c r="L435" s="47">
        <f t="shared" si="32"/>
        <v>767835.49</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1646.81</v>
      </c>
      <c r="G440" s="18">
        <v>401454.84</v>
      </c>
      <c r="H440" s="18"/>
      <c r="I440" s="56">
        <f t="shared" ref="I440:I446" si="33">SUM(F440:H440)</f>
        <v>403101.65</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1646.81</v>
      </c>
      <c r="G447" s="13">
        <f>SUM(G440:G446)</f>
        <v>401454.84</v>
      </c>
      <c r="H447" s="13">
        <f>SUM(H440:H446)</f>
        <v>0</v>
      </c>
      <c r="I447" s="13">
        <f>SUM(I440:I446)</f>
        <v>403101.65</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1646.81</v>
      </c>
      <c r="G460" s="18">
        <v>401454.84</v>
      </c>
      <c r="H460" s="18"/>
      <c r="I460" s="56">
        <f t="shared" si="34"/>
        <v>403101.65</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1646.81</v>
      </c>
      <c r="G461" s="83">
        <f>SUM(G455:G460)</f>
        <v>401454.84</v>
      </c>
      <c r="H461" s="83">
        <f>SUM(H455:H460)</f>
        <v>0</v>
      </c>
      <c r="I461" s="83">
        <f>SUM(I455:I460)</f>
        <v>403101.65</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1646.81</v>
      </c>
      <c r="G462" s="42">
        <f>G453+G461</f>
        <v>401454.84</v>
      </c>
      <c r="H462" s="42">
        <f>H453+H461</f>
        <v>0</v>
      </c>
      <c r="I462" s="42">
        <f>I453+I461</f>
        <v>403101.65</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2757378.05</v>
      </c>
      <c r="G466" s="18">
        <v>101209.74</v>
      </c>
      <c r="H466" s="18">
        <v>406904.85</v>
      </c>
      <c r="I466" s="18">
        <v>8189030.6200000001</v>
      </c>
      <c r="J466" s="18">
        <v>1070652.3899999999</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53078955.299999997</v>
      </c>
      <c r="G469" s="18">
        <v>626223.69999999995</v>
      </c>
      <c r="H469" s="18">
        <v>1154927.4099999999</v>
      </c>
      <c r="I469" s="18">
        <v>137189.20000000001</v>
      </c>
      <c r="J469" s="18">
        <v>100284.75</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v>68000</v>
      </c>
      <c r="J470" s="18"/>
      <c r="K470" s="24" t="s">
        <v>288</v>
      </c>
      <c r="L470" s="24" t="s">
        <v>288</v>
      </c>
      <c r="N470" s="265"/>
    </row>
    <row r="471" spans="1:14" s="52" customFormat="1" ht="12.2" customHeight="1" x14ac:dyDescent="0.2">
      <c r="A471" s="92" t="s">
        <v>425</v>
      </c>
      <c r="B471" s="75">
        <v>19</v>
      </c>
      <c r="C471" s="80">
        <v>4</v>
      </c>
      <c r="D471" s="2" t="s">
        <v>432</v>
      </c>
      <c r="E471" s="80"/>
      <c r="F471" s="53">
        <f>SUM(F469:F470)</f>
        <v>53078955.299999997</v>
      </c>
      <c r="G471" s="53">
        <f>SUM(G469:G470)</f>
        <v>626223.69999999995</v>
      </c>
      <c r="H471" s="53">
        <f>SUM(H469:H470)</f>
        <v>1154927.4099999999</v>
      </c>
      <c r="I471" s="53">
        <f>SUM(I469:I470)</f>
        <v>205189.2</v>
      </c>
      <c r="J471" s="53">
        <f>SUM(J469:J470)</f>
        <v>100284.75</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54674562.57</v>
      </c>
      <c r="G473" s="18">
        <v>727433.44</v>
      </c>
      <c r="H473" s="18">
        <v>1067796.1299999999</v>
      </c>
      <c r="I473" s="18">
        <v>6198863.1799999997</v>
      </c>
      <c r="J473" s="18">
        <v>767835.49</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54674562.57</v>
      </c>
      <c r="G475" s="53">
        <f>SUM(G473:G474)</f>
        <v>727433.44</v>
      </c>
      <c r="H475" s="53">
        <f>SUM(H473:H474)</f>
        <v>1067796.1299999999</v>
      </c>
      <c r="I475" s="53">
        <f>SUM(I473:I474)</f>
        <v>6198863.1799999997</v>
      </c>
      <c r="J475" s="53">
        <f>SUM(J473:J474)</f>
        <v>767835.49</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1161770.7799999937</v>
      </c>
      <c r="G477" s="53">
        <f>(G466+G471)- G475</f>
        <v>0</v>
      </c>
      <c r="H477" s="53">
        <f>(H466+H471)- H475</f>
        <v>494036.12999999989</v>
      </c>
      <c r="I477" s="53">
        <f>(I466+I471)- I475</f>
        <v>2195356.6400000006</v>
      </c>
      <c r="J477" s="53">
        <f>(J466+J471)- J475</f>
        <v>403101.64999999991</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11</v>
      </c>
      <c r="G491" s="154">
        <v>20</v>
      </c>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1644</v>
      </c>
      <c r="G492" s="155" t="s">
        <v>1642</v>
      </c>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1645</v>
      </c>
      <c r="G493" s="155" t="s">
        <v>1643</v>
      </c>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19305000</v>
      </c>
      <c r="G494" s="18">
        <v>38107102</v>
      </c>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3</v>
      </c>
      <c r="G495" s="18">
        <v>2.67</v>
      </c>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v>30600000</v>
      </c>
      <c r="H496" s="18"/>
      <c r="I496" s="18"/>
      <c r="J496" s="18"/>
      <c r="K496" s="53">
        <f>SUM(F496:J496)</f>
        <v>30600000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1700000</v>
      </c>
      <c r="G498" s="18">
        <v>1705000</v>
      </c>
      <c r="H498" s="18"/>
      <c r="I498" s="18"/>
      <c r="J498" s="18"/>
      <c r="K498" s="53">
        <f t="shared" si="35"/>
        <v>3405000</v>
      </c>
      <c r="L498" s="24" t="s">
        <v>288</v>
      </c>
      <c r="N498" s="265"/>
    </row>
    <row r="499" spans="1:14" s="52" customFormat="1" ht="12.2" customHeight="1" x14ac:dyDescent="0.2">
      <c r="A499" s="200" t="s">
        <v>622</v>
      </c>
      <c r="B499" s="201">
        <v>20</v>
      </c>
      <c r="C499" s="202">
        <v>9</v>
      </c>
      <c r="D499" s="203" t="s">
        <v>432</v>
      </c>
      <c r="E499" s="202"/>
      <c r="F499" s="204">
        <v>10200000</v>
      </c>
      <c r="G499" s="204">
        <v>30600000</v>
      </c>
      <c r="H499" s="204"/>
      <c r="I499" s="204"/>
      <c r="J499" s="204"/>
      <c r="K499" s="205">
        <f t="shared" si="35"/>
        <v>40800000</v>
      </c>
      <c r="L499" s="206" t="s">
        <v>288</v>
      </c>
      <c r="N499" s="265"/>
    </row>
    <row r="500" spans="1:14" s="52" customFormat="1" ht="12.2" customHeight="1" thickBot="1" x14ac:dyDescent="0.25">
      <c r="A500" s="22" t="s">
        <v>623</v>
      </c>
      <c r="B500" s="75">
        <v>20</v>
      </c>
      <c r="C500" s="115">
        <v>10</v>
      </c>
      <c r="D500" s="2" t="s">
        <v>432</v>
      </c>
      <c r="E500" s="115"/>
      <c r="F500" s="18">
        <v>1236750</v>
      </c>
      <c r="G500" s="18">
        <v>10662400</v>
      </c>
      <c r="H500" s="18"/>
      <c r="I500" s="18"/>
      <c r="J500" s="18"/>
      <c r="K500" s="53">
        <f t="shared" si="35"/>
        <v>11899150</v>
      </c>
      <c r="L500" s="24" t="s">
        <v>288</v>
      </c>
      <c r="N500" s="265"/>
    </row>
    <row r="501" spans="1:14" s="52" customFormat="1" ht="12.2" customHeight="1" thickTop="1" x14ac:dyDescent="0.2">
      <c r="A501" s="139" t="s">
        <v>624</v>
      </c>
      <c r="B501" s="44">
        <v>20</v>
      </c>
      <c r="C501" s="195">
        <v>11</v>
      </c>
      <c r="D501" s="39" t="s">
        <v>432</v>
      </c>
      <c r="E501" s="195"/>
      <c r="F501" s="42">
        <f>SUM(F499:F500)</f>
        <v>11436750</v>
      </c>
      <c r="G501" s="42">
        <f>SUM(G499:G500)</f>
        <v>41262400</v>
      </c>
      <c r="H501" s="42">
        <f>SUM(H499:H500)</f>
        <v>0</v>
      </c>
      <c r="I501" s="42">
        <f>SUM(I499:I500)</f>
        <v>0</v>
      </c>
      <c r="J501" s="42">
        <f>SUM(J499:J500)</f>
        <v>0</v>
      </c>
      <c r="K501" s="42">
        <f t="shared" si="35"/>
        <v>52699150</v>
      </c>
      <c r="L501" s="45" t="s">
        <v>288</v>
      </c>
      <c r="N501" s="265"/>
    </row>
    <row r="502" spans="1:14" s="52" customFormat="1" ht="12.2" customHeight="1" x14ac:dyDescent="0.2">
      <c r="A502" s="200" t="s">
        <v>651</v>
      </c>
      <c r="B502" s="201">
        <v>20</v>
      </c>
      <c r="C502" s="202">
        <v>12</v>
      </c>
      <c r="D502" s="203" t="s">
        <v>432</v>
      </c>
      <c r="E502" s="202"/>
      <c r="F502" s="204">
        <v>1700000</v>
      </c>
      <c r="G502" s="204">
        <v>1700000</v>
      </c>
      <c r="H502" s="204"/>
      <c r="I502" s="204"/>
      <c r="J502" s="204"/>
      <c r="K502" s="205">
        <f t="shared" si="35"/>
        <v>3400000</v>
      </c>
      <c r="L502" s="206" t="s">
        <v>288</v>
      </c>
      <c r="N502" s="265"/>
    </row>
    <row r="503" spans="1:14" s="52" customFormat="1" ht="12.2" customHeight="1" thickBot="1" x14ac:dyDescent="0.25">
      <c r="A503" s="22" t="s">
        <v>625</v>
      </c>
      <c r="B503" s="75">
        <v>20</v>
      </c>
      <c r="C503" s="115">
        <v>13</v>
      </c>
      <c r="D503" s="2" t="s">
        <v>432</v>
      </c>
      <c r="E503" s="115"/>
      <c r="F503" s="18">
        <v>340000</v>
      </c>
      <c r="G503" s="18">
        <v>1279250</v>
      </c>
      <c r="H503" s="18"/>
      <c r="I503" s="18"/>
      <c r="J503" s="18"/>
      <c r="K503" s="53">
        <f t="shared" si="35"/>
        <v>1619250</v>
      </c>
      <c r="L503" s="24" t="s">
        <v>288</v>
      </c>
      <c r="N503" s="265"/>
    </row>
    <row r="504" spans="1:14" s="52" customFormat="1" ht="12.2" customHeight="1" thickTop="1" x14ac:dyDescent="0.2">
      <c r="A504" s="139" t="s">
        <v>626</v>
      </c>
      <c r="B504" s="44">
        <v>20</v>
      </c>
      <c r="C504" s="195">
        <v>14</v>
      </c>
      <c r="D504" s="39" t="s">
        <v>432</v>
      </c>
      <c r="E504" s="195"/>
      <c r="F504" s="42">
        <f>SUM(F502:F503)</f>
        <v>2040000</v>
      </c>
      <c r="G504" s="42">
        <f>SUM(G502:G503)</f>
        <v>2979250</v>
      </c>
      <c r="H504" s="42">
        <f>SUM(H502:H503)</f>
        <v>0</v>
      </c>
      <c r="I504" s="42">
        <f>SUM(I502:I503)</f>
        <v>0</v>
      </c>
      <c r="J504" s="42">
        <f>SUM(J502:J503)</f>
        <v>0</v>
      </c>
      <c r="K504" s="42">
        <f t="shared" si="35"/>
        <v>5019250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2770086.43</v>
      </c>
      <c r="G522" s="18">
        <v>1585183.14</v>
      </c>
      <c r="H522" s="18">
        <v>1219620.25</v>
      </c>
      <c r="I522" s="18">
        <v>16339.57</v>
      </c>
      <c r="J522" s="18">
        <v>974.13</v>
      </c>
      <c r="K522" s="18">
        <v>707.89</v>
      </c>
      <c r="L522" s="88">
        <f>SUM(F522:K522)</f>
        <v>5592911.4100000001</v>
      </c>
      <c r="N522" s="265"/>
    </row>
    <row r="523" spans="1:14" s="52" customFormat="1" ht="12.2" customHeight="1" x14ac:dyDescent="0.2">
      <c r="A523" s="22" t="s">
        <v>634</v>
      </c>
      <c r="B523" s="105">
        <v>21</v>
      </c>
      <c r="C523" s="115">
        <v>2</v>
      </c>
      <c r="D523" s="2" t="s">
        <v>432</v>
      </c>
      <c r="E523" s="115"/>
      <c r="F523" s="18"/>
      <c r="G523" s="18"/>
      <c r="H523" s="18"/>
      <c r="I523" s="18"/>
      <c r="J523" s="18">
        <v>2858.24</v>
      </c>
      <c r="K523" s="18">
        <v>240.68</v>
      </c>
      <c r="L523" s="88">
        <f>SUM(F523:K523)</f>
        <v>3098.9199999999996</v>
      </c>
      <c r="N523" s="265"/>
    </row>
    <row r="524" spans="1:14" s="52" customFormat="1" ht="12.2" customHeight="1" thickBot="1" x14ac:dyDescent="0.25">
      <c r="A524" s="22" t="s">
        <v>635</v>
      </c>
      <c r="B524" s="105">
        <v>21</v>
      </c>
      <c r="C524" s="115">
        <v>3</v>
      </c>
      <c r="D524" s="2" t="s">
        <v>432</v>
      </c>
      <c r="E524" s="115"/>
      <c r="F524" s="18">
        <v>1172559.4099999999</v>
      </c>
      <c r="G524" s="18">
        <v>660298.13</v>
      </c>
      <c r="H524" s="18">
        <v>1060179.68</v>
      </c>
      <c r="I524" s="18">
        <v>8562.7000000000007</v>
      </c>
      <c r="J524" s="18">
        <v>9743.93</v>
      </c>
      <c r="K524" s="18">
        <v>467.21</v>
      </c>
      <c r="L524" s="88">
        <f>SUM(F524:K524)</f>
        <v>2911811.06</v>
      </c>
      <c r="N524" s="265"/>
    </row>
    <row r="525" spans="1:14" s="52" customFormat="1" ht="12.2" customHeight="1" thickTop="1" x14ac:dyDescent="0.2">
      <c r="A525" s="139" t="s">
        <v>63</v>
      </c>
      <c r="B525" s="107">
        <v>21</v>
      </c>
      <c r="C525" s="195">
        <v>4</v>
      </c>
      <c r="D525" s="196" t="s">
        <v>432</v>
      </c>
      <c r="E525" s="195"/>
      <c r="F525" s="108">
        <f>SUM(F522:F524)</f>
        <v>3942645.84</v>
      </c>
      <c r="G525" s="108">
        <f t="shared" ref="G525:L525" si="36">SUM(G522:G524)</f>
        <v>2245481.27</v>
      </c>
      <c r="H525" s="108">
        <f t="shared" si="36"/>
        <v>2279799.9299999997</v>
      </c>
      <c r="I525" s="108">
        <f t="shared" si="36"/>
        <v>24902.27</v>
      </c>
      <c r="J525" s="108">
        <f t="shared" si="36"/>
        <v>13576.3</v>
      </c>
      <c r="K525" s="108">
        <f t="shared" si="36"/>
        <v>1415.78</v>
      </c>
      <c r="L525" s="89">
        <f t="shared" si="36"/>
        <v>8507821.3900000006</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936260.8</v>
      </c>
      <c r="G527" s="18">
        <v>458767.8</v>
      </c>
      <c r="H527" s="18">
        <v>121297.59</v>
      </c>
      <c r="I527" s="18">
        <v>13185.99</v>
      </c>
      <c r="J527" s="18">
        <v>19802</v>
      </c>
      <c r="K527" s="18">
        <v>631.80999999999995</v>
      </c>
      <c r="L527" s="88">
        <f>SUM(F527:K527)</f>
        <v>1549945.9900000002</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v>203991</v>
      </c>
      <c r="G529" s="18">
        <v>91795.95</v>
      </c>
      <c r="H529" s="18">
        <v>59743.59</v>
      </c>
      <c r="I529" s="18">
        <v>4858.5600000000004</v>
      </c>
      <c r="J529" s="18">
        <v>2853.8</v>
      </c>
      <c r="K529" s="18">
        <v>311.19</v>
      </c>
      <c r="L529" s="88">
        <f>SUM(F529:K529)</f>
        <v>363554.09</v>
      </c>
      <c r="M529" s="8"/>
      <c r="N529" s="266"/>
    </row>
    <row r="530" spans="1:14" s="3" customFormat="1" ht="12.2" customHeight="1" thickTop="1" x14ac:dyDescent="0.15">
      <c r="A530" s="139" t="s">
        <v>65</v>
      </c>
      <c r="B530" s="107">
        <v>21</v>
      </c>
      <c r="C530" s="107">
        <v>8</v>
      </c>
      <c r="D530" s="158" t="s">
        <v>432</v>
      </c>
      <c r="E530" s="107"/>
      <c r="F530" s="89">
        <f>SUM(F527:F529)</f>
        <v>1140251.8</v>
      </c>
      <c r="G530" s="89">
        <f t="shared" ref="G530:L530" si="37">SUM(G527:G529)</f>
        <v>550563.75</v>
      </c>
      <c r="H530" s="89">
        <f t="shared" si="37"/>
        <v>181041.18</v>
      </c>
      <c r="I530" s="89">
        <f t="shared" si="37"/>
        <v>18044.55</v>
      </c>
      <c r="J530" s="89">
        <f t="shared" si="37"/>
        <v>22655.8</v>
      </c>
      <c r="K530" s="89">
        <f t="shared" si="37"/>
        <v>943</v>
      </c>
      <c r="L530" s="89">
        <f t="shared" si="37"/>
        <v>1913500.0800000003</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438099.07</v>
      </c>
      <c r="G532" s="18">
        <v>249716.47</v>
      </c>
      <c r="H532" s="18">
        <v>2060</v>
      </c>
      <c r="I532" s="18">
        <v>77.05</v>
      </c>
      <c r="J532" s="18"/>
      <c r="K532" s="18">
        <v>958</v>
      </c>
      <c r="L532" s="88">
        <f>SUM(F532:K532)</f>
        <v>690910.59000000008</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v>196178.33</v>
      </c>
      <c r="G534" s="18">
        <v>35312.1</v>
      </c>
      <c r="H534" s="18">
        <v>1014.62</v>
      </c>
      <c r="I534" s="18">
        <v>37.950000000000003</v>
      </c>
      <c r="J534" s="18"/>
      <c r="K534" s="18">
        <v>471.9</v>
      </c>
      <c r="L534" s="88">
        <f>SUM(F534:K534)</f>
        <v>233014.9</v>
      </c>
      <c r="M534" s="8"/>
      <c r="N534" s="266"/>
    </row>
    <row r="535" spans="1:14" s="3" customFormat="1" ht="12.2" customHeight="1" thickTop="1" x14ac:dyDescent="0.15">
      <c r="A535" s="139" t="s">
        <v>67</v>
      </c>
      <c r="B535" s="107">
        <v>21</v>
      </c>
      <c r="C535" s="107">
        <v>12</v>
      </c>
      <c r="D535" s="158" t="s">
        <v>432</v>
      </c>
      <c r="E535" s="107"/>
      <c r="F535" s="89">
        <f>SUM(F532:F534)</f>
        <v>634277.4</v>
      </c>
      <c r="G535" s="89">
        <f t="shared" ref="G535:L535" si="38">SUM(G532:G534)</f>
        <v>285028.57</v>
      </c>
      <c r="H535" s="89">
        <f t="shared" si="38"/>
        <v>3074.62</v>
      </c>
      <c r="I535" s="89">
        <f t="shared" si="38"/>
        <v>115</v>
      </c>
      <c r="J535" s="89">
        <f t="shared" si="38"/>
        <v>0</v>
      </c>
      <c r="K535" s="89">
        <f t="shared" si="38"/>
        <v>1429.9</v>
      </c>
      <c r="L535" s="89">
        <f t="shared" si="38"/>
        <v>923925.49000000011</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188786.7</v>
      </c>
      <c r="I537" s="18"/>
      <c r="J537" s="18"/>
      <c r="K537" s="18"/>
      <c r="L537" s="88">
        <f>SUM(F537:K537)</f>
        <v>188786.7</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v>1241.77</v>
      </c>
      <c r="I539" s="18"/>
      <c r="J539" s="18"/>
      <c r="K539" s="18"/>
      <c r="L539" s="88">
        <f>SUM(F539:K539)</f>
        <v>1241.77</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190028.47</v>
      </c>
      <c r="I540" s="89">
        <f t="shared" si="39"/>
        <v>0</v>
      </c>
      <c r="J540" s="89">
        <f t="shared" si="39"/>
        <v>0</v>
      </c>
      <c r="K540" s="89">
        <f t="shared" si="39"/>
        <v>0</v>
      </c>
      <c r="L540" s="89">
        <f t="shared" si="39"/>
        <v>190028.47</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391560.05</v>
      </c>
      <c r="I542" s="18"/>
      <c r="J542" s="18"/>
      <c r="K542" s="18"/>
      <c r="L542" s="88">
        <f>SUM(F542:K542)</f>
        <v>391560.05</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396140.55</v>
      </c>
      <c r="I544" s="18"/>
      <c r="J544" s="18"/>
      <c r="K544" s="18"/>
      <c r="L544" s="88">
        <f>SUM(F544:K544)</f>
        <v>396140.55</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787700.6</v>
      </c>
      <c r="I545" s="193">
        <f t="shared" si="40"/>
        <v>0</v>
      </c>
      <c r="J545" s="193">
        <f t="shared" si="40"/>
        <v>0</v>
      </c>
      <c r="K545" s="193">
        <f t="shared" si="40"/>
        <v>0</v>
      </c>
      <c r="L545" s="193">
        <f t="shared" si="40"/>
        <v>787700.6</v>
      </c>
      <c r="M545" s="8"/>
      <c r="N545" s="266"/>
    </row>
    <row r="546" spans="1:14" s="3" customFormat="1" ht="12.2" customHeight="1" thickTop="1" x14ac:dyDescent="0.15">
      <c r="A546" s="98" t="s">
        <v>72</v>
      </c>
      <c r="B546" s="107">
        <v>21</v>
      </c>
      <c r="C546" s="107">
        <v>21</v>
      </c>
      <c r="D546" s="158" t="s">
        <v>432</v>
      </c>
      <c r="E546" s="107"/>
      <c r="F546" s="89">
        <f>F525+F530+F535+F540+F545</f>
        <v>5717175.04</v>
      </c>
      <c r="G546" s="89">
        <f t="shared" ref="G546:L546" si="41">G525+G530+G535+G540+G545</f>
        <v>3081073.59</v>
      </c>
      <c r="H546" s="89">
        <f t="shared" si="41"/>
        <v>3441644.8000000003</v>
      </c>
      <c r="I546" s="89">
        <f t="shared" si="41"/>
        <v>43061.82</v>
      </c>
      <c r="J546" s="89">
        <f t="shared" si="41"/>
        <v>36232.1</v>
      </c>
      <c r="K546" s="89">
        <f t="shared" si="41"/>
        <v>3788.68</v>
      </c>
      <c r="L546" s="89">
        <f t="shared" si="41"/>
        <v>12322976.030000001</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5592911.4100000001</v>
      </c>
      <c r="G550" s="87">
        <f>L527</f>
        <v>1549945.9900000002</v>
      </c>
      <c r="H550" s="87">
        <f>L532</f>
        <v>690910.59000000008</v>
      </c>
      <c r="I550" s="87">
        <f>L537</f>
        <v>188786.7</v>
      </c>
      <c r="J550" s="87">
        <f>L542</f>
        <v>391560.05</v>
      </c>
      <c r="K550" s="87">
        <f>SUM(F550:J550)</f>
        <v>8414114.7400000002</v>
      </c>
      <c r="L550" s="24" t="s">
        <v>288</v>
      </c>
      <c r="M550" s="8"/>
      <c r="N550" s="266"/>
    </row>
    <row r="551" spans="1:14" s="3" customFormat="1" ht="12.2" customHeight="1" x14ac:dyDescent="0.15">
      <c r="A551" s="22" t="s">
        <v>634</v>
      </c>
      <c r="B551" s="75">
        <v>21</v>
      </c>
      <c r="C551" s="75">
        <v>23</v>
      </c>
      <c r="D551" s="2" t="s">
        <v>432</v>
      </c>
      <c r="E551" s="75"/>
      <c r="F551" s="87">
        <f>L523</f>
        <v>3098.9199999999996</v>
      </c>
      <c r="G551" s="87">
        <f>L528</f>
        <v>0</v>
      </c>
      <c r="H551" s="87">
        <f>L533</f>
        <v>0</v>
      </c>
      <c r="I551" s="87">
        <f>L538</f>
        <v>0</v>
      </c>
      <c r="J551" s="87">
        <f>L543</f>
        <v>0</v>
      </c>
      <c r="K551" s="87">
        <f>SUM(F551:J551)</f>
        <v>3098.9199999999996</v>
      </c>
      <c r="L551" s="24" t="s">
        <v>288</v>
      </c>
      <c r="M551" s="8"/>
      <c r="N551" s="266"/>
    </row>
    <row r="552" spans="1:14" s="3" customFormat="1" ht="12.2" customHeight="1" thickBot="1" x14ac:dyDescent="0.2">
      <c r="A552" s="22" t="s">
        <v>635</v>
      </c>
      <c r="B552" s="75">
        <v>21</v>
      </c>
      <c r="C552" s="75">
        <v>24</v>
      </c>
      <c r="D552" s="2" t="s">
        <v>432</v>
      </c>
      <c r="E552" s="75"/>
      <c r="F552" s="87">
        <f>L524</f>
        <v>2911811.06</v>
      </c>
      <c r="G552" s="87">
        <f>L529</f>
        <v>363554.09</v>
      </c>
      <c r="H552" s="87">
        <f>L534</f>
        <v>233014.9</v>
      </c>
      <c r="I552" s="87">
        <f>L539</f>
        <v>1241.77</v>
      </c>
      <c r="J552" s="87">
        <f>L544</f>
        <v>396140.55</v>
      </c>
      <c r="K552" s="87">
        <f>SUM(F552:J552)</f>
        <v>3905762.3699999996</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8507821.3900000006</v>
      </c>
      <c r="G553" s="89">
        <f t="shared" si="42"/>
        <v>1913500.0800000003</v>
      </c>
      <c r="H553" s="89">
        <f t="shared" si="42"/>
        <v>923925.49000000011</v>
      </c>
      <c r="I553" s="89">
        <f t="shared" si="42"/>
        <v>190028.47</v>
      </c>
      <c r="J553" s="89">
        <f t="shared" si="42"/>
        <v>787700.6</v>
      </c>
      <c r="K553" s="89">
        <f t="shared" si="42"/>
        <v>12322976.029999999</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156240.84</v>
      </c>
      <c r="G563" s="18">
        <v>41526.720000000001</v>
      </c>
      <c r="H563" s="18">
        <v>1784.39</v>
      </c>
      <c r="I563" s="18">
        <v>2751.38</v>
      </c>
      <c r="J563" s="18"/>
      <c r="K563" s="18"/>
      <c r="L563" s="88">
        <f>SUM(F563:K563)</f>
        <v>202303.33000000002</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156240.84</v>
      </c>
      <c r="G566" s="89">
        <f t="shared" si="44"/>
        <v>41526.720000000001</v>
      </c>
      <c r="H566" s="89">
        <f t="shared" si="44"/>
        <v>1784.39</v>
      </c>
      <c r="I566" s="89">
        <f t="shared" si="44"/>
        <v>2751.38</v>
      </c>
      <c r="J566" s="89">
        <f t="shared" si="44"/>
        <v>0</v>
      </c>
      <c r="K566" s="89">
        <f t="shared" si="44"/>
        <v>0</v>
      </c>
      <c r="L566" s="89">
        <f t="shared" si="44"/>
        <v>202303.33000000002</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156240.84</v>
      </c>
      <c r="G572" s="89">
        <f t="shared" ref="G572:L572" si="46">G561+G566+G571</f>
        <v>41526.720000000001</v>
      </c>
      <c r="H572" s="89">
        <f t="shared" si="46"/>
        <v>1784.39</v>
      </c>
      <c r="I572" s="89">
        <f t="shared" si="46"/>
        <v>2751.38</v>
      </c>
      <c r="J572" s="89">
        <f t="shared" si="46"/>
        <v>0</v>
      </c>
      <c r="K572" s="89">
        <f t="shared" si="46"/>
        <v>0</v>
      </c>
      <c r="L572" s="89">
        <f t="shared" si="46"/>
        <v>202303.33000000002</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703217.43</v>
      </c>
      <c r="G583" s="18"/>
      <c r="H583" s="18">
        <v>811458.82</v>
      </c>
      <c r="I583" s="87">
        <f t="shared" si="47"/>
        <v>1514676.25</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188162.9</v>
      </c>
      <c r="I585" s="87">
        <f t="shared" si="47"/>
        <v>188162.9</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1122414.3999999999</v>
      </c>
      <c r="I592" s="18"/>
      <c r="J592" s="18">
        <v>552830.98</v>
      </c>
      <c r="K592" s="104">
        <f t="shared" ref="K592:K598" si="48">SUM(H592:J592)</f>
        <v>1675245.38</v>
      </c>
      <c r="L592" s="24" t="s">
        <v>288</v>
      </c>
      <c r="M592" s="8"/>
      <c r="N592" s="266"/>
    </row>
    <row r="593" spans="1:14" s="3" customFormat="1" ht="12.2" customHeight="1" x14ac:dyDescent="0.15">
      <c r="A593" s="3" t="s">
        <v>638</v>
      </c>
      <c r="B593" s="75">
        <v>23</v>
      </c>
      <c r="C593" s="75">
        <v>2</v>
      </c>
      <c r="D593" s="2" t="s">
        <v>432</v>
      </c>
      <c r="E593" s="75"/>
      <c r="F593" s="102">
        <v>2722</v>
      </c>
      <c r="G593" s="103" t="s">
        <v>97</v>
      </c>
      <c r="H593" s="18">
        <v>391560.05</v>
      </c>
      <c r="I593" s="18"/>
      <c r="J593" s="18">
        <v>396140.55</v>
      </c>
      <c r="K593" s="104">
        <f t="shared" si="48"/>
        <v>787700.6</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178938</v>
      </c>
      <c r="K594" s="104">
        <f t="shared" si="48"/>
        <v>178938</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v>77961.52</v>
      </c>
      <c r="K595" s="104">
        <f t="shared" si="48"/>
        <v>77961.52</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18454.38</v>
      </c>
      <c r="I596" s="18"/>
      <c r="J596" s="18">
        <v>7943.51</v>
      </c>
      <c r="K596" s="104">
        <f t="shared" si="48"/>
        <v>26397.89</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1532428.8299999998</v>
      </c>
      <c r="I599" s="108">
        <f>SUM(I592:I598)</f>
        <v>0</v>
      </c>
      <c r="J599" s="108">
        <f>SUM(J592:J598)</f>
        <v>1213814.56</v>
      </c>
      <c r="K599" s="108">
        <f>SUM(K592:K598)</f>
        <v>2746243.39</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491365.37</v>
      </c>
      <c r="I605" s="18"/>
      <c r="J605" s="18">
        <v>524258.74</v>
      </c>
      <c r="K605" s="104">
        <f>SUM(H605:J605)</f>
        <v>1015624.11</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491365.37</v>
      </c>
      <c r="I606" s="108">
        <f>SUM(I603:I605)</f>
        <v>0</v>
      </c>
      <c r="J606" s="108">
        <f>SUM(J603:J605)</f>
        <v>524258.74</v>
      </c>
      <c r="K606" s="108">
        <f>SUM(K603:K605)</f>
        <v>1015624.11</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114262.69</v>
      </c>
      <c r="G612" s="18"/>
      <c r="H612" s="18">
        <v>40072.269999999997</v>
      </c>
      <c r="I612" s="18">
        <v>369.65</v>
      </c>
      <c r="J612" s="18"/>
      <c r="K612" s="18"/>
      <c r="L612" s="88">
        <f>SUM(F612:K612)</f>
        <v>154704.60999999999</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v>56278.64</v>
      </c>
      <c r="G614" s="18"/>
      <c r="H614" s="18">
        <v>19737.09</v>
      </c>
      <c r="I614" s="18">
        <v>182.06</v>
      </c>
      <c r="J614" s="18"/>
      <c r="K614" s="18"/>
      <c r="L614" s="88">
        <f>SUM(F614:K614)</f>
        <v>76197.789999999994</v>
      </c>
      <c r="M614" s="8"/>
      <c r="N614" s="266"/>
    </row>
    <row r="615" spans="1:14" s="3" customFormat="1" ht="12.2" customHeight="1" thickTop="1" x14ac:dyDescent="0.15">
      <c r="A615" s="98" t="s">
        <v>340</v>
      </c>
      <c r="B615" s="107">
        <v>23</v>
      </c>
      <c r="C615" s="107">
        <v>16</v>
      </c>
      <c r="D615" s="39" t="s">
        <v>432</v>
      </c>
      <c r="E615" s="107"/>
      <c r="F615" s="108">
        <f t="shared" ref="F615:L615" si="49">SUM(F612:F614)</f>
        <v>170541.33000000002</v>
      </c>
      <c r="G615" s="108">
        <f t="shared" si="49"/>
        <v>0</v>
      </c>
      <c r="H615" s="108">
        <f t="shared" si="49"/>
        <v>59809.36</v>
      </c>
      <c r="I615" s="108">
        <f t="shared" si="49"/>
        <v>551.71</v>
      </c>
      <c r="J615" s="108">
        <f t="shared" si="49"/>
        <v>0</v>
      </c>
      <c r="K615" s="108">
        <f t="shared" si="49"/>
        <v>0</v>
      </c>
      <c r="L615" s="89">
        <f t="shared" si="49"/>
        <v>230902.39999999997</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1576833.57</v>
      </c>
      <c r="H618" s="109">
        <f>SUM(F52)</f>
        <v>1576833.57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74338.080000000002</v>
      </c>
      <c r="H619" s="109">
        <f>SUM(G52)</f>
        <v>74338.080000000002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683136.5</v>
      </c>
      <c r="H620" s="109">
        <f>SUM(H52)</f>
        <v>683136.5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2198010.09</v>
      </c>
      <c r="H621" s="109">
        <f>SUM(I52)</f>
        <v>2198010.0900000003</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403101.65</v>
      </c>
      <c r="H622" s="109">
        <f>SUM(J52)</f>
        <v>403101.65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1161770.78</v>
      </c>
      <c r="H623" s="109">
        <f>F477</f>
        <v>1161770.7799999937</v>
      </c>
      <c r="I623" s="121" t="s">
        <v>101</v>
      </c>
      <c r="J623" s="109">
        <f t="shared" ref="J623:J656" si="50">G623-H623</f>
        <v>6.28642737865448E-9</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494036.13</v>
      </c>
      <c r="H625" s="109">
        <f>H477</f>
        <v>494036.12999999989</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2195356.64</v>
      </c>
      <c r="H626" s="109">
        <f>I477</f>
        <v>2195356.6400000006</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403101.65</v>
      </c>
      <c r="H627" s="109">
        <f>J477</f>
        <v>403101.64999999991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53078955.300000004</v>
      </c>
      <c r="H628" s="104">
        <f>SUM(F469)</f>
        <v>53078955.299999997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626223.69999999995</v>
      </c>
      <c r="H629" s="104">
        <f>SUM(G469)</f>
        <v>626223.69999999995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1154927.4099999999</v>
      </c>
      <c r="H630" s="104">
        <f>SUM(H469)</f>
        <v>1154927.4099999999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137189.20000000001</v>
      </c>
      <c r="H631" s="104">
        <f>SUM(I469)</f>
        <v>137189.20000000001</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100284.75</v>
      </c>
      <c r="H632" s="104">
        <f>SUM(J469)</f>
        <v>100284.75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54674562.570000008</v>
      </c>
      <c r="H633" s="104">
        <f>SUM(F473)</f>
        <v>54674562.57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1067796.1299999999</v>
      </c>
      <c r="H634" s="104">
        <f>SUM(H473)</f>
        <v>1067796.1299999999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297629.90000000002</v>
      </c>
      <c r="H635" s="104">
        <f>I370</f>
        <v>297629.90000000002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727433.44</v>
      </c>
      <c r="H636" s="104">
        <f>SUM(G473)</f>
        <v>727433.44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6198863.1799999997</v>
      </c>
      <c r="H637" s="104">
        <f>SUM(I473)</f>
        <v>6198863.1799999997</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100284.74999999999</v>
      </c>
      <c r="H638" s="164">
        <f>SUM(J469)</f>
        <v>100284.75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767835.49</v>
      </c>
      <c r="H639" s="164">
        <f>SUM(J473)</f>
        <v>767835.49</v>
      </c>
      <c r="I639" s="165" t="s">
        <v>117</v>
      </c>
      <c r="J639" s="151">
        <f t="shared" si="50"/>
        <v>0</v>
      </c>
      <c r="K639" s="85"/>
      <c r="L639" s="167"/>
      <c r="M639" s="8"/>
    </row>
    <row r="640" spans="1:13" s="3" customFormat="1" ht="12.2" customHeight="1" x14ac:dyDescent="0.15">
      <c r="A640" s="22"/>
      <c r="B640" s="105"/>
      <c r="C640" s="105"/>
      <c r="D640" s="105"/>
      <c r="E640" s="105"/>
      <c r="F640" s="120" t="s">
        <v>118</v>
      </c>
      <c r="G640" s="109">
        <f>SUM(F447)</f>
        <v>1646.81</v>
      </c>
      <c r="H640" s="104">
        <f>SUM(F462)</f>
        <v>1646.81</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401454.84</v>
      </c>
      <c r="H641" s="104">
        <f>SUM(G462)</f>
        <v>401454.84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403101.65</v>
      </c>
      <c r="H643" s="104">
        <f>SUM(I462)</f>
        <v>403101.65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284.75</v>
      </c>
      <c r="H645" s="104">
        <f>H409</f>
        <v>284.75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100000</v>
      </c>
      <c r="H646" s="104">
        <f>G409</f>
        <v>100000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100284.75</v>
      </c>
      <c r="H647" s="104">
        <f>L409</f>
        <v>100284.74999999999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2746243.39</v>
      </c>
      <c r="H648" s="104">
        <f>L209+L227+L245</f>
        <v>2746243.39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1015624.11</v>
      </c>
      <c r="H649" s="104">
        <f>(J258+J339)-(J256+J337)</f>
        <v>1015624.11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1532428.83</v>
      </c>
      <c r="H650" s="104">
        <f>H599</f>
        <v>1532428.8299999998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1213814.56</v>
      </c>
      <c r="H652" s="104">
        <f>J599</f>
        <v>1213814.56</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14939.09</v>
      </c>
      <c r="H653" s="104">
        <f>K264+K346</f>
        <v>14939.09</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100000</v>
      </c>
      <c r="H656" s="104">
        <f>K267+K348</f>
        <v>100000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32914711.010000002</v>
      </c>
      <c r="G661" s="19">
        <f>(L230+L310+L360)</f>
        <v>0</v>
      </c>
      <c r="H661" s="19">
        <f>(L248+L329+L361)</f>
        <v>18242885.039999999</v>
      </c>
      <c r="I661" s="19">
        <f>SUM(F661:H661)</f>
        <v>51157596.049999997</v>
      </c>
      <c r="J661" s="13"/>
      <c r="K661" s="13"/>
      <c r="L661" s="13"/>
      <c r="M661" s="9"/>
    </row>
    <row r="662" spans="1:13" s="3" customFormat="1" ht="12.2" customHeight="1" x14ac:dyDescent="0.2">
      <c r="A662" s="1" t="s">
        <v>127</v>
      </c>
      <c r="F662" s="19">
        <f>(L359/IF(SUM(L359:L361)=0,1,SUM(L359:L361))*(SUM(G97:G110)))</f>
        <v>307933.76791304507</v>
      </c>
      <c r="G662" s="19">
        <f>(L360/IF(SUM(L359:L361)=0,1,SUM(L359:L361))*(SUM(G97:G110)))</f>
        <v>0</v>
      </c>
      <c r="H662" s="19">
        <f>(L361/IF(SUM(L359:L361)=0,1,SUM(L359:L361))*(SUM(G97:G110)))</f>
        <v>180672.65208695497</v>
      </c>
      <c r="I662" s="19">
        <f>SUM(F662:H662)</f>
        <v>488606.42000000004</v>
      </c>
      <c r="J662"/>
      <c r="K662" s="13"/>
      <c r="L662" s="13"/>
      <c r="M662" s="8"/>
    </row>
    <row r="663" spans="1:13" s="3" customFormat="1" ht="12.2" customHeight="1" x14ac:dyDescent="0.2">
      <c r="A663" s="1" t="s">
        <v>128</v>
      </c>
      <c r="F663" s="19">
        <f>(L209+L288)-(J209+J288)</f>
        <v>1532428.83</v>
      </c>
      <c r="G663" s="19">
        <f>(L227+L307)-(J227+J307)</f>
        <v>0</v>
      </c>
      <c r="H663" s="19">
        <f>(L245+L326)-(J245+J326)</f>
        <v>1213814.56</v>
      </c>
      <c r="I663" s="19">
        <f>SUM(F663:H663)</f>
        <v>2746243.39</v>
      </c>
      <c r="J663"/>
      <c r="K663" s="13"/>
      <c r="L663" s="13"/>
      <c r="M663" s="9"/>
    </row>
    <row r="664" spans="1:13" s="3" customFormat="1" ht="12.2" customHeight="1" x14ac:dyDescent="0.15">
      <c r="A664" s="198" t="s">
        <v>129</v>
      </c>
      <c r="B664" s="169"/>
      <c r="C664" s="169"/>
      <c r="D664" s="169"/>
      <c r="E664" s="169"/>
      <c r="F664" s="199">
        <f>SUM(F576:F588)+SUM(H603:H605)+SUM(L612)</f>
        <v>1349287.4100000001</v>
      </c>
      <c r="G664" s="199">
        <f>SUM(G576:G588)+SUM(I603:I605)+L613</f>
        <v>0</v>
      </c>
      <c r="H664" s="199">
        <f>SUM(H576:H588)+SUM(J603:J605)+L614</f>
        <v>1600078.25</v>
      </c>
      <c r="I664" s="19">
        <f>SUM(F664:H664)</f>
        <v>2949365.66</v>
      </c>
      <c r="J664" s="13"/>
      <c r="K664" s="13"/>
      <c r="L664" s="13"/>
      <c r="M664" s="9"/>
    </row>
    <row r="665" spans="1:13" s="3" customFormat="1" ht="12.2" customHeight="1" x14ac:dyDescent="0.15">
      <c r="A665" s="1" t="s">
        <v>130</v>
      </c>
      <c r="F665" s="19">
        <f>F661-SUM(F662:F664)</f>
        <v>29725061.002086956</v>
      </c>
      <c r="G665" s="19">
        <f>G661-SUM(G662:G664)</f>
        <v>0</v>
      </c>
      <c r="H665" s="19">
        <f>H661-SUM(H662:H664)</f>
        <v>15248319.577913044</v>
      </c>
      <c r="I665" s="19">
        <f>I661-SUM(I662:I664)</f>
        <v>44973380.579999998</v>
      </c>
      <c r="J665" s="13"/>
      <c r="K665" s="13"/>
      <c r="L665" s="13"/>
      <c r="M665" s="8"/>
    </row>
    <row r="666" spans="1:13" s="3" customFormat="1" ht="12.2" customHeight="1" x14ac:dyDescent="0.2">
      <c r="A666" s="1" t="s">
        <v>131</v>
      </c>
      <c r="F666" s="246">
        <f>19.27+183.84+1770.45</f>
        <v>1973.56</v>
      </c>
      <c r="G666" s="247"/>
      <c r="H666" s="247">
        <v>986.33</v>
      </c>
      <c r="I666" s="19">
        <f>SUM(F666:H666)</f>
        <v>2959.89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15061.65</v>
      </c>
      <c r="G668" s="19" t="e">
        <f>ROUND(G665/G666,2)</f>
        <v>#DIV/0!</v>
      </c>
      <c r="H668" s="19">
        <f>ROUND(H665/H666,2)</f>
        <v>15459.65</v>
      </c>
      <c r="I668" s="19">
        <f>ROUND(I665/I666,2)</f>
        <v>15194.27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-32.549999999999997</v>
      </c>
      <c r="I671" s="19">
        <f>SUM(F671:H671)</f>
        <v>-32.549999999999997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15061.65</v>
      </c>
      <c r="G673" s="19" t="e">
        <f>ROUND((G665+G670)/(G666+G671),2)</f>
        <v>#DIV/0!</v>
      </c>
      <c r="H673" s="19">
        <f>ROUND((H665+H670)/(H666+H671),2)</f>
        <v>15987.25</v>
      </c>
      <c r="I673" s="19">
        <f>ROUND((I665+I670)/(I666+I671),2)</f>
        <v>15363.22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horizontalDpi="300" verticalDpi="300"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6"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Windham School District</v>
      </c>
      <c r="C5" s="344"/>
      <c r="D5" s="344"/>
      <c r="E5" s="344"/>
      <c r="F5" s="344"/>
    </row>
    <row r="8" spans="1:9" ht="18" x14ac:dyDescent="0.25">
      <c r="A8" s="323" t="s">
        <v>1591</v>
      </c>
      <c r="F8" s="330" t="s">
        <v>1609</v>
      </c>
    </row>
    <row r="9" spans="1:9" ht="15" x14ac:dyDescent="0.2">
      <c r="A9" s="321" t="s">
        <v>1592</v>
      </c>
      <c r="B9" s="324">
        <f>'DOE25'!G97</f>
        <v>479939.22</v>
      </c>
      <c r="F9" s="321" t="s">
        <v>1605</v>
      </c>
    </row>
    <row r="10" spans="1:9" ht="15" x14ac:dyDescent="0.2">
      <c r="A10" s="321" t="s">
        <v>1593</v>
      </c>
      <c r="B10" s="324">
        <f>'DOE25'!G112-'DOE25'!G97</f>
        <v>8667.2000000000116</v>
      </c>
      <c r="F10" s="321" t="s">
        <v>1606</v>
      </c>
    </row>
    <row r="11" spans="1:9" ht="15" x14ac:dyDescent="0.2">
      <c r="A11" s="321" t="s">
        <v>1594</v>
      </c>
      <c r="B11" s="324">
        <f>'DOE25'!G140</f>
        <v>9407.31</v>
      </c>
      <c r="F11" s="321" t="s">
        <v>1607</v>
      </c>
    </row>
    <row r="12" spans="1:9" ht="15" x14ac:dyDescent="0.2">
      <c r="A12" s="321" t="s">
        <v>1595</v>
      </c>
      <c r="B12" s="324">
        <f>'DOE25'!G170</f>
        <v>113270.88</v>
      </c>
      <c r="F12" s="321" t="s">
        <v>1608</v>
      </c>
    </row>
    <row r="13" spans="1:9" ht="15" x14ac:dyDescent="0.2">
      <c r="A13" s="321" t="s">
        <v>1596</v>
      </c>
      <c r="B13" s="324">
        <f>'DOE25'!G193-'DOE25'!G180</f>
        <v>0</v>
      </c>
      <c r="F13" s="321" t="s">
        <v>1618</v>
      </c>
    </row>
    <row r="14" spans="1:9" ht="18" x14ac:dyDescent="0.25">
      <c r="A14" s="323" t="s">
        <v>732</v>
      </c>
      <c r="B14" s="325">
        <f>SUM(B9:B13)</f>
        <v>611284.61</v>
      </c>
    </row>
    <row r="16" spans="1:9" ht="18" x14ac:dyDescent="0.25">
      <c r="A16" s="323" t="s">
        <v>786</v>
      </c>
      <c r="F16" s="330" t="s">
        <v>1610</v>
      </c>
    </row>
    <row r="17" spans="1:6" ht="15" x14ac:dyDescent="0.2">
      <c r="A17" s="321" t="s">
        <v>1597</v>
      </c>
      <c r="B17" s="324">
        <f>'DOE25'!L363-'DOE25'!L362</f>
        <v>727433.44</v>
      </c>
      <c r="F17" s="321" t="s">
        <v>1611</v>
      </c>
    </row>
    <row r="18" spans="1:6" ht="15" x14ac:dyDescent="0.2">
      <c r="A18" s="321" t="s">
        <v>1598</v>
      </c>
      <c r="B18" s="338"/>
      <c r="F18" s="330" t="s">
        <v>1637</v>
      </c>
    </row>
    <row r="19" spans="1:6" ht="18" x14ac:dyDescent="0.25">
      <c r="A19" s="323" t="s">
        <v>725</v>
      </c>
      <c r="B19" s="325">
        <f>SUM(B17:B18)</f>
        <v>727433.44</v>
      </c>
    </row>
    <row r="21" spans="1:6" ht="18.75" thickBot="1" x14ac:dyDescent="0.3">
      <c r="A21" s="323" t="s">
        <v>1599</v>
      </c>
    </row>
    <row r="22" spans="1:6" ht="18.75" thickTop="1" x14ac:dyDescent="0.25">
      <c r="A22" s="323" t="s">
        <v>1600</v>
      </c>
      <c r="B22" s="329">
        <f>B14-B19</f>
        <v>-116148.82999999996</v>
      </c>
      <c r="F22" s="321" t="s">
        <v>1612</v>
      </c>
    </row>
    <row r="26" spans="1:6" ht="18" x14ac:dyDescent="0.25">
      <c r="A26" s="323" t="s">
        <v>186</v>
      </c>
    </row>
    <row r="27" spans="1:6" ht="15" x14ac:dyDescent="0.2">
      <c r="A27" s="321" t="s">
        <v>1601</v>
      </c>
      <c r="B27" s="324">
        <f>'DOE25'!G180</f>
        <v>14939.09</v>
      </c>
      <c r="F27" s="321" t="s">
        <v>1613</v>
      </c>
    </row>
    <row r="28" spans="1:6" ht="15" x14ac:dyDescent="0.2">
      <c r="A28" s="321" t="s">
        <v>1603</v>
      </c>
      <c r="B28" s="324">
        <f>'DOE25'!L362</f>
        <v>0</v>
      </c>
      <c r="F28" s="321" t="s">
        <v>1614</v>
      </c>
    </row>
    <row r="31" spans="1:6" ht="15" x14ac:dyDescent="0.2">
      <c r="A31" s="321" t="s">
        <v>1640</v>
      </c>
      <c r="B31" s="324">
        <f>'DOE25'!G466</f>
        <v>101209.74</v>
      </c>
      <c r="F31" s="321" t="s">
        <v>1615</v>
      </c>
    </row>
    <row r="33" spans="1:6" ht="15" x14ac:dyDescent="0.2">
      <c r="A33" s="321" t="s">
        <v>1641</v>
      </c>
      <c r="B33" s="324">
        <f>'DOE25'!G477</f>
        <v>0</v>
      </c>
      <c r="F33" s="321" t="s">
        <v>1616</v>
      </c>
    </row>
    <row r="36" spans="1:6" ht="15" x14ac:dyDescent="0.2">
      <c r="A36" s="321" t="s">
        <v>1602</v>
      </c>
      <c r="B36" s="339">
        <v>57726</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E30" sqref="E3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Windham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13125138.459999999</v>
      </c>
      <c r="C9" s="229">
        <f>'DOE25'!G198+'DOE25'!G216+'DOE25'!G234+'DOE25'!G277+'DOE25'!G296+'DOE25'!G315</f>
        <v>6390896.9800000004</v>
      </c>
    </row>
    <row r="10" spans="1:3" x14ac:dyDescent="0.2">
      <c r="A10" t="s">
        <v>775</v>
      </c>
      <c r="B10" s="240">
        <v>12055062</v>
      </c>
      <c r="C10" s="240">
        <v>5815716.2599999998</v>
      </c>
    </row>
    <row r="11" spans="1:3" x14ac:dyDescent="0.2">
      <c r="A11" t="s">
        <v>776</v>
      </c>
      <c r="B11" s="240">
        <v>216017.83</v>
      </c>
      <c r="C11" s="240">
        <v>16525.37</v>
      </c>
    </row>
    <row r="12" spans="1:3" x14ac:dyDescent="0.2">
      <c r="A12" t="s">
        <v>777</v>
      </c>
      <c r="B12" s="240">
        <v>854058.63</v>
      </c>
      <c r="C12" s="240">
        <v>558655.35</v>
      </c>
    </row>
    <row r="13" spans="1:3" x14ac:dyDescent="0.2">
      <c r="A13" t="str">
        <f>IF(B9=B13,IF(C9=C13,"Check Total OK","Check Total Error"),"Check Total Error")</f>
        <v>Check Total OK</v>
      </c>
      <c r="B13" s="231">
        <f>SUM(B10:B12)</f>
        <v>13125138.460000001</v>
      </c>
      <c r="C13" s="231">
        <f>SUM(C10:C12)</f>
        <v>6390896.9799999995</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4590122.16</v>
      </c>
      <c r="C18" s="229">
        <f>'DOE25'!G199+'DOE25'!G217+'DOE25'!G235+'DOE25'!G278+'DOE25'!G297+'DOE25'!G316</f>
        <v>2252745.0100000002</v>
      </c>
    </row>
    <row r="19" spans="1:3" x14ac:dyDescent="0.2">
      <c r="A19" t="s">
        <v>775</v>
      </c>
      <c r="B19" s="240">
        <v>2407937.75</v>
      </c>
      <c r="C19" s="240">
        <v>1181770.24</v>
      </c>
    </row>
    <row r="20" spans="1:3" x14ac:dyDescent="0.2">
      <c r="A20" t="s">
        <v>776</v>
      </c>
      <c r="B20" s="240">
        <v>1630235.84</v>
      </c>
      <c r="C20" s="240">
        <v>800088.87</v>
      </c>
    </row>
    <row r="21" spans="1:3" x14ac:dyDescent="0.2">
      <c r="A21" t="s">
        <v>777</v>
      </c>
      <c r="B21" s="240">
        <v>551948.56999999995</v>
      </c>
      <c r="C21" s="240">
        <v>270885.90000000002</v>
      </c>
    </row>
    <row r="22" spans="1:3" x14ac:dyDescent="0.2">
      <c r="A22" t="str">
        <f>IF(B18=B22,IF(C18=C22,"Check Total OK","Check Total Error"),"Check Total Error")</f>
        <v>Check Total OK</v>
      </c>
      <c r="B22" s="231">
        <f>SUM(B19:B21)</f>
        <v>4590122.16</v>
      </c>
      <c r="C22" s="231">
        <f>SUM(C19:C21)</f>
        <v>2252745.0099999998</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570677.57000000007</v>
      </c>
      <c r="C36" s="235">
        <f>'DOE25'!G201+'DOE25'!G219+'DOE25'!G237+'DOE25'!G280+'DOE25'!G299+'DOE25'!G318</f>
        <v>283071.89999999997</v>
      </c>
    </row>
    <row r="37" spans="1:3" x14ac:dyDescent="0.2">
      <c r="A37" t="s">
        <v>775</v>
      </c>
      <c r="B37" s="240"/>
      <c r="C37" s="240"/>
    </row>
    <row r="38" spans="1:3" x14ac:dyDescent="0.2">
      <c r="A38" t="s">
        <v>776</v>
      </c>
      <c r="B38" s="240"/>
      <c r="C38" s="240"/>
    </row>
    <row r="39" spans="1:3" x14ac:dyDescent="0.2">
      <c r="A39" t="s">
        <v>777</v>
      </c>
      <c r="B39" s="240">
        <v>570677.56999999995</v>
      </c>
      <c r="C39" s="240">
        <v>283071.90000000002</v>
      </c>
    </row>
    <row r="40" spans="1:3" x14ac:dyDescent="0.2">
      <c r="A40" t="str">
        <f>IF(B36=B40,IF(C36=C40,"Check Total OK","Check Total Error"),"Check Total Error")</f>
        <v>Check Total OK</v>
      </c>
      <c r="B40" s="231">
        <f>SUM(B37:B39)</f>
        <v>570677.56999999995</v>
      </c>
      <c r="C40" s="231">
        <f>SUM(C37:C39)</f>
        <v>283071.90000000002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9" sqref="D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Windham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30034658.360000007</v>
      </c>
      <c r="D5" s="20">
        <f>SUM('DOE25'!L198:L201)+SUM('DOE25'!L216:L219)+SUM('DOE25'!L234:L237)-F5-G5-H5</f>
        <v>29746761.910000008</v>
      </c>
      <c r="E5" s="243"/>
      <c r="F5" s="244"/>
      <c r="G5" s="53">
        <f>SUM('DOE25'!J198:J201)+SUM('DOE25'!J216:J219)+SUM('DOE25'!J234:J237)</f>
        <v>186064.31</v>
      </c>
      <c r="H5" s="53">
        <f>SUM('DOE25'!K198:K201)+SUM('DOE25'!K216:K219)+SUM('DOE25'!K234:K237)</f>
        <v>101832.14000000001</v>
      </c>
      <c r="I5" s="256"/>
    </row>
    <row r="6" spans="1:9" x14ac:dyDescent="0.2">
      <c r="A6" s="32">
        <v>2100</v>
      </c>
      <c r="B6" t="s">
        <v>796</v>
      </c>
      <c r="C6" s="276">
        <f t="shared" si="0"/>
        <v>4164153.23</v>
      </c>
      <c r="D6" s="20">
        <f>'DOE25'!L203+'DOE25'!L221+'DOE25'!L239-F6-G6-H6</f>
        <v>4131628.22</v>
      </c>
      <c r="E6" s="243"/>
      <c r="F6" s="244"/>
      <c r="G6" s="53">
        <f>'DOE25'!J203+'DOE25'!J221+'DOE25'!J239</f>
        <v>31137.010000000002</v>
      </c>
      <c r="H6" s="53">
        <f>'DOE25'!K203+'DOE25'!K221+'DOE25'!K239</f>
        <v>1388</v>
      </c>
      <c r="I6" s="256"/>
    </row>
    <row r="7" spans="1:9" x14ac:dyDescent="0.2">
      <c r="A7" s="32">
        <v>2200</v>
      </c>
      <c r="B7" t="s">
        <v>821</v>
      </c>
      <c r="C7" s="276">
        <f t="shared" si="0"/>
        <v>2617733.79</v>
      </c>
      <c r="D7" s="20">
        <f>'DOE25'!L204+'DOE25'!L222+'DOE25'!L240-F7-G7-H7</f>
        <v>1924153.74</v>
      </c>
      <c r="E7" s="243"/>
      <c r="F7" s="244"/>
      <c r="G7" s="53">
        <f>'DOE25'!J204+'DOE25'!J222+'DOE25'!J240</f>
        <v>692521.49</v>
      </c>
      <c r="H7" s="53">
        <f>'DOE25'!K204+'DOE25'!K222+'DOE25'!K240</f>
        <v>1058.56</v>
      </c>
      <c r="I7" s="256"/>
    </row>
    <row r="8" spans="1:9" x14ac:dyDescent="0.2">
      <c r="A8" s="32">
        <v>2300</v>
      </c>
      <c r="B8" t="s">
        <v>797</v>
      </c>
      <c r="C8" s="276">
        <f t="shared" si="0"/>
        <v>2290295.2400000002</v>
      </c>
      <c r="D8" s="243"/>
      <c r="E8" s="20">
        <f>'DOE25'!L205+'DOE25'!L223+'DOE25'!L241-F8-G8-H8-D9-D11</f>
        <v>2254304.56</v>
      </c>
      <c r="F8" s="244"/>
      <c r="G8" s="53">
        <f>'DOE25'!J205+'DOE25'!J223+'DOE25'!J241</f>
        <v>5366.04</v>
      </c>
      <c r="H8" s="53">
        <f>'DOE25'!K205+'DOE25'!K223+'DOE25'!K241</f>
        <v>30624.639999999999</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2283952.08</v>
      </c>
      <c r="D12" s="20">
        <f>'DOE25'!L206+'DOE25'!L224+'DOE25'!L242-F12-G12-H12</f>
        <v>2244967.1399999997</v>
      </c>
      <c r="E12" s="243"/>
      <c r="F12" s="244"/>
      <c r="G12" s="53">
        <f>'DOE25'!J206+'DOE25'!J224+'DOE25'!J242</f>
        <v>4496.7</v>
      </c>
      <c r="H12" s="53">
        <f>'DOE25'!K206+'DOE25'!K224+'DOE25'!K242</f>
        <v>34488.239999999998</v>
      </c>
      <c r="I12" s="256"/>
    </row>
    <row r="13" spans="1:9" x14ac:dyDescent="0.2">
      <c r="A13" s="32">
        <v>2500</v>
      </c>
      <c r="B13" t="s">
        <v>798</v>
      </c>
      <c r="C13" s="276">
        <f t="shared" si="0"/>
        <v>687551.76</v>
      </c>
      <c r="D13" s="243"/>
      <c r="E13" s="20">
        <f>'DOE25'!L207+'DOE25'!L225+'DOE25'!L243-F13-G13-H13</f>
        <v>680550.75</v>
      </c>
      <c r="F13" s="244"/>
      <c r="G13" s="53">
        <f>'DOE25'!J207+'DOE25'!J225+'DOE25'!J243</f>
        <v>0</v>
      </c>
      <c r="H13" s="53">
        <f>'DOE25'!K207+'DOE25'!K225+'DOE25'!K243</f>
        <v>7001.01</v>
      </c>
      <c r="I13" s="256"/>
    </row>
    <row r="14" spans="1:9" x14ac:dyDescent="0.2">
      <c r="A14" s="32">
        <v>2600</v>
      </c>
      <c r="B14" t="s">
        <v>819</v>
      </c>
      <c r="C14" s="276">
        <f t="shared" si="0"/>
        <v>4500482.1100000003</v>
      </c>
      <c r="D14" s="20">
        <f>'DOE25'!L208+'DOE25'!L226+'DOE25'!L244-F14-G14-H14</f>
        <v>4420025.9000000004</v>
      </c>
      <c r="E14" s="243"/>
      <c r="F14" s="244"/>
      <c r="G14" s="53">
        <f>'DOE25'!J208+'DOE25'!J226+'DOE25'!J244</f>
        <v>80456.209999999992</v>
      </c>
      <c r="H14" s="53">
        <f>'DOE25'!K208+'DOE25'!K226+'DOE25'!K244</f>
        <v>0</v>
      </c>
      <c r="I14" s="256"/>
    </row>
    <row r="15" spans="1:9" x14ac:dyDescent="0.2">
      <c r="A15" s="32">
        <v>2700</v>
      </c>
      <c r="B15" t="s">
        <v>799</v>
      </c>
      <c r="C15" s="276">
        <f t="shared" si="0"/>
        <v>2746243.39</v>
      </c>
      <c r="D15" s="20">
        <f>'DOE25'!L209+'DOE25'!L227+'DOE25'!L245-F15-G15-H15</f>
        <v>2746243.39</v>
      </c>
      <c r="E15" s="243"/>
      <c r="F15" s="244"/>
      <c r="G15" s="53">
        <f>'DOE25'!J209+'DOE25'!J227+'DOE25'!J245</f>
        <v>0</v>
      </c>
      <c r="H15" s="53">
        <f>'DOE25'!K209+'DOE25'!K227+'DOE25'!K245</f>
        <v>0</v>
      </c>
      <c r="I15" s="256"/>
    </row>
    <row r="16" spans="1:9" x14ac:dyDescent="0.2">
      <c r="A16" s="32">
        <v>2800</v>
      </c>
      <c r="B16" t="s">
        <v>800</v>
      </c>
      <c r="C16" s="276">
        <f t="shared" si="0"/>
        <v>37296.519999999997</v>
      </c>
      <c r="D16" s="243"/>
      <c r="E16" s="20">
        <f>'DOE25'!L210+'DOE25'!L228+'DOE25'!L246-F16-G16-H16</f>
        <v>37296.519999999997</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35179</v>
      </c>
      <c r="D22" s="243"/>
      <c r="E22" s="243"/>
      <c r="F22" s="243"/>
      <c r="G22" s="53">
        <f>'DOE25'!L256+'DOE25'!L337</f>
        <v>35179</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5162078</v>
      </c>
      <c r="D25" s="243"/>
      <c r="E25" s="243"/>
      <c r="F25" s="255"/>
      <c r="G25" s="253"/>
      <c r="H25" s="253"/>
      <c r="I25" s="254">
        <f>'DOE25'!L261+'DOE25'!L262+'DOE25'!L342+'DOE25'!L343</f>
        <v>5162078</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449880.25999999995</v>
      </c>
      <c r="D29" s="284">
        <f>'DOE25'!L359+'DOE25'!L360+'DOE25'!L361-'DOE25'!I368-F29-G29-H29</f>
        <v>439188.93999999994</v>
      </c>
      <c r="E29" s="243"/>
      <c r="F29" s="244"/>
      <c r="G29" s="53">
        <f>'DOE25'!J359+'DOE25'!J360+'DOE25'!J361</f>
        <v>10301.32</v>
      </c>
      <c r="H29" s="53">
        <f>'DOE25'!K359+'DOE25'!K360+'DOE25'!K361</f>
        <v>390</v>
      </c>
      <c r="I29" s="256"/>
    </row>
    <row r="30" spans="1:9" x14ac:dyDescent="0.2">
      <c r="A30" s="32"/>
      <c r="C30" s="277"/>
      <c r="D30" s="20"/>
      <c r="E30" s="281"/>
      <c r="F30" s="271"/>
      <c r="G30" s="53"/>
      <c r="H30" s="53"/>
      <c r="I30" s="256"/>
    </row>
    <row r="31" spans="1:9" x14ac:dyDescent="0.2">
      <c r="A31" s="32" t="s">
        <v>818</v>
      </c>
      <c r="B31" t="s">
        <v>817</v>
      </c>
      <c r="C31" s="276">
        <f>SUM(D31:I31)</f>
        <v>1067796.1299999999</v>
      </c>
      <c r="D31" s="20">
        <f>'DOE25'!L291+'DOE25'!L310+'DOE25'!L329+'DOE25'!L334+'DOE25'!L335+'DOE25'!L336-F31-G31-H31</f>
        <v>1004005.5499999998</v>
      </c>
      <c r="E31" s="243"/>
      <c r="F31" s="244"/>
      <c r="G31" s="53">
        <f>'DOE25'!J291+'DOE25'!J310+'DOE25'!J329+'DOE25'!J334+'DOE25'!J335+'DOE25'!J336</f>
        <v>15582.35</v>
      </c>
      <c r="H31" s="53">
        <f>'DOE25'!K291+'DOE25'!K310+'DOE25'!K329+'DOE25'!K334+'DOE25'!K335+'DOE25'!K336</f>
        <v>48208.229999999996</v>
      </c>
      <c r="I31" s="256"/>
    </row>
    <row r="32" spans="1:9" ht="12" thickBot="1" x14ac:dyDescent="0.25">
      <c r="C32" s="277"/>
      <c r="G32" s="251"/>
      <c r="H32" s="251"/>
      <c r="I32" s="258"/>
    </row>
    <row r="33" spans="1:9" ht="12" thickTop="1" x14ac:dyDescent="0.2">
      <c r="B33" t="s">
        <v>809</v>
      </c>
      <c r="D33" s="245">
        <f t="shared" ref="D33:I33" si="1">SUM(D5:D31)</f>
        <v>46656974.790000007</v>
      </c>
      <c r="E33" s="245">
        <f t="shared" si="1"/>
        <v>2972151.83</v>
      </c>
      <c r="F33" s="245">
        <f t="shared" si="1"/>
        <v>0</v>
      </c>
      <c r="G33" s="245">
        <f t="shared" si="1"/>
        <v>1061104.43</v>
      </c>
      <c r="H33" s="245">
        <f t="shared" si="1"/>
        <v>224990.82</v>
      </c>
      <c r="I33" s="245">
        <f t="shared" si="1"/>
        <v>5162078</v>
      </c>
    </row>
    <row r="35" spans="1:9" ht="12" thickBot="1" x14ac:dyDescent="0.25">
      <c r="B35" s="251" t="s">
        <v>831</v>
      </c>
      <c r="D35" s="252">
        <f>E33</f>
        <v>2972151.83</v>
      </c>
      <c r="E35" s="248"/>
    </row>
    <row r="36" spans="1:9" ht="12" thickTop="1" x14ac:dyDescent="0.2">
      <c r="B36" t="s">
        <v>810</v>
      </c>
      <c r="D36" s="20">
        <f>D33</f>
        <v>46656974.790000007</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H50" sqref="H5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Windham School District</v>
      </c>
      <c r="B2" s="126">
        <f>'DOE25'!B2</f>
        <v>575</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32456261.609999999</v>
      </c>
      <c r="G4" s="303">
        <f>'DOE25'!L212+'DOE25'!L291</f>
        <v>32456261.610000003</v>
      </c>
      <c r="H4" s="337">
        <f>F4-G4</f>
        <v>0</v>
      </c>
      <c r="I4" s="309" t="str">
        <f>IF(H4=0,"","Does not match DOE25 page 7 and 11 Totals!!")</f>
        <v/>
      </c>
      <c r="N4"/>
    </row>
    <row r="5" spans="1:18" x14ac:dyDescent="0.2">
      <c r="A5" s="21" t="s">
        <v>1486</v>
      </c>
      <c r="B5" s="304">
        <f>IFERROR(VLOOKUP(A5,'School Tables'!$C$3:$D$365,2,FALSE),"")</f>
        <v>21130</v>
      </c>
      <c r="C5" s="297" t="str">
        <f>IFERROR(INDEX('School Tables'!$B$3:$B$365,MATCH('School Level Expenditures'!B5,'School Tables'!$D$3:$D$365,0)),"")</f>
        <v>Windham</v>
      </c>
      <c r="D5" s="294">
        <v>11135099.810000001</v>
      </c>
      <c r="E5" s="294">
        <v>224591.76</v>
      </c>
      <c r="F5" s="312">
        <f>D5+E5</f>
        <v>11359691.57</v>
      </c>
      <c r="G5" s="297"/>
      <c r="H5" s="297"/>
      <c r="I5" s="126"/>
      <c r="N5"/>
    </row>
    <row r="6" spans="1:18" x14ac:dyDescent="0.2">
      <c r="A6" s="21" t="s">
        <v>1487</v>
      </c>
      <c r="B6" s="304">
        <f>IFERROR(VLOOKUP(A6,'School Tables'!$C$3:$D$365,2,FALSE),"")</f>
        <v>21135</v>
      </c>
      <c r="C6" s="297" t="str">
        <f>IFERROR(INDEX('School Tables'!$B$3:$B$365,MATCH('School Level Expenditures'!B6,'School Tables'!$D$3:$D$365,0)),"")</f>
        <v>Windham</v>
      </c>
      <c r="D6" s="294">
        <v>4772185.63</v>
      </c>
      <c r="E6" s="294">
        <v>96253.61</v>
      </c>
      <c r="F6" s="307">
        <f t="shared" ref="F6:F20" si="0">D6+E6</f>
        <v>4868439.24</v>
      </c>
      <c r="G6" s="297"/>
      <c r="H6" s="297"/>
      <c r="I6" s="126"/>
      <c r="N6"/>
    </row>
    <row r="7" spans="1:18" x14ac:dyDescent="0.2">
      <c r="A7" s="21" t="s">
        <v>1485</v>
      </c>
      <c r="B7" s="304">
        <f>IFERROR(VLOOKUP(A7,'School Tables'!$C$3:$D$365,2,FALSE),"")</f>
        <v>21125</v>
      </c>
      <c r="C7" s="297" t="str">
        <f>IFERROR(INDEX('School Tables'!$B$3:$B$365,MATCH('School Level Expenditures'!B7,'School Tables'!$D$3:$D$365,0)),"")</f>
        <v>Windham</v>
      </c>
      <c r="D7" s="294">
        <v>5408477.0499999998</v>
      </c>
      <c r="E7" s="294">
        <v>109087.42</v>
      </c>
      <c r="F7" s="307">
        <f t="shared" si="0"/>
        <v>5517564.4699999997</v>
      </c>
      <c r="G7" s="297"/>
      <c r="H7" s="297"/>
      <c r="I7" s="126"/>
      <c r="N7"/>
    </row>
    <row r="8" spans="1:18" x14ac:dyDescent="0.2">
      <c r="A8" s="21"/>
      <c r="B8" s="304" t="str">
        <f>IFERROR(VLOOKUP(A8,'School Tables'!$C$3:$D$365,2,FALSE),"")</f>
        <v/>
      </c>
      <c r="C8" s="297" t="str">
        <f>IFERROR(INDEX('School Tables'!$B$3:$B$365,MATCH('School Level Expenditures'!B8,'School Tables'!$D$3:$D$365,0)),"")</f>
        <v/>
      </c>
      <c r="D8" s="294">
        <v>10498808.390000001</v>
      </c>
      <c r="E8" s="294">
        <v>211757.94</v>
      </c>
      <c r="F8" s="307">
        <f t="shared" si="0"/>
        <v>10710566.33</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17973901</v>
      </c>
      <c r="G36" s="303">
        <f>'DOE25'!L248+'DOE25'!L329</f>
        <v>17973901</v>
      </c>
      <c r="H36" s="337">
        <f>F36-G36</f>
        <v>0</v>
      </c>
      <c r="I36" s="309" t="str">
        <f>IF(H36=0,"","Does not match DOE25 page 9 and 13 Totals!!")</f>
        <v/>
      </c>
      <c r="N36"/>
    </row>
    <row r="37" spans="1:14" x14ac:dyDescent="0.2">
      <c r="A37" s="21" t="s">
        <v>1488</v>
      </c>
      <c r="B37" s="304">
        <f>IFERROR(VLOOKUP(A37,'School Tables'!$O$3:$P$118,2,FALSE),"")</f>
        <v>28640</v>
      </c>
      <c r="C37" s="297" t="str">
        <f t="array" ref="C37">IFERROR(INDEX('School Tables'!$N$3:$N$118,MATCH('School Level Expenditures'!B37,'School Tables'!$P$3:$P$118,0)),"")</f>
        <v>Windham</v>
      </c>
      <c r="D37" s="294">
        <v>17547795.600000001</v>
      </c>
      <c r="E37" s="294">
        <v>426105.4</v>
      </c>
      <c r="F37" s="307">
        <f>D37+E37</f>
        <v>17973901</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14" activePane="bottomLeft" state="frozen"/>
      <selection activeCell="F46" sqref="F46"/>
      <selection pane="bottomLeft" activeCell="K97" sqref="K9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Windham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1428998.09</v>
      </c>
      <c r="D8" s="95">
        <f>'DOE25'!G9</f>
        <v>0</v>
      </c>
      <c r="E8" s="95">
        <f>'DOE25'!H9</f>
        <v>0</v>
      </c>
      <c r="F8" s="95">
        <f>'DOE25'!I9</f>
        <v>1477399.02</v>
      </c>
      <c r="G8" s="95">
        <f>'DOE25'!J9</f>
        <v>403101.65</v>
      </c>
      <c r="H8" s="124"/>
      <c r="I8" s="124"/>
    </row>
    <row r="9" spans="1:9" x14ac:dyDescent="0.2">
      <c r="A9" s="1" t="s">
        <v>140</v>
      </c>
      <c r="B9" s="6">
        <v>110</v>
      </c>
      <c r="C9" s="95">
        <f>'DOE25'!F10</f>
        <v>0</v>
      </c>
      <c r="D9" s="95">
        <f>'DOE25'!G10</f>
        <v>0</v>
      </c>
      <c r="E9" s="95">
        <f>'DOE25'!H10</f>
        <v>0</v>
      </c>
      <c r="F9" s="95">
        <f>'DOE25'!I10</f>
        <v>0.04</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24323.58</v>
      </c>
      <c r="E11" s="95">
        <f>'DOE25'!H12</f>
        <v>661432.37</v>
      </c>
      <c r="F11" s="95">
        <f>'DOE25'!I12</f>
        <v>720611.03</v>
      </c>
      <c r="G11" s="95">
        <f>'DOE25'!J12</f>
        <v>0</v>
      </c>
      <c r="H11" s="124"/>
      <c r="I11" s="124"/>
    </row>
    <row r="12" spans="1:9" x14ac:dyDescent="0.2">
      <c r="A12" s="1" t="s">
        <v>143</v>
      </c>
      <c r="B12" s="6">
        <v>140</v>
      </c>
      <c r="C12" s="95">
        <f>'DOE25'!F13</f>
        <v>112084.72</v>
      </c>
      <c r="D12" s="95">
        <f>'DOE25'!G13</f>
        <v>1257.25</v>
      </c>
      <c r="E12" s="95">
        <f>'DOE25'!H13</f>
        <v>15890.13</v>
      </c>
      <c r="F12" s="95">
        <f>'DOE25'!I13</f>
        <v>0</v>
      </c>
      <c r="G12" s="95">
        <f>'DOE25'!J13</f>
        <v>0</v>
      </c>
      <c r="H12" s="124"/>
      <c r="I12" s="124"/>
    </row>
    <row r="13" spans="1:9" x14ac:dyDescent="0.2">
      <c r="A13" s="1" t="s">
        <v>144</v>
      </c>
      <c r="B13" s="6">
        <v>150</v>
      </c>
      <c r="C13" s="95">
        <f>'DOE25'!F14</f>
        <v>22169.46</v>
      </c>
      <c r="D13" s="95">
        <f>'DOE25'!G14</f>
        <v>0</v>
      </c>
      <c r="E13" s="95">
        <f>'DOE25'!H14</f>
        <v>5814</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48757.25</v>
      </c>
      <c r="E15" s="95">
        <f>'DOE25'!H16</f>
        <v>0</v>
      </c>
      <c r="F15" s="95">
        <f>'DOE25'!I16</f>
        <v>0</v>
      </c>
      <c r="G15" s="24" t="s">
        <v>288</v>
      </c>
      <c r="H15" s="124"/>
      <c r="I15" s="124"/>
    </row>
    <row r="16" spans="1:9" x14ac:dyDescent="0.2">
      <c r="A16" s="1" t="s">
        <v>147</v>
      </c>
      <c r="B16" s="6">
        <v>180</v>
      </c>
      <c r="C16" s="95">
        <f>'DOE25'!F17</f>
        <v>13581.3</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1576833.57</v>
      </c>
      <c r="D18" s="41">
        <f>SUM(D8:D17)</f>
        <v>74338.080000000002</v>
      </c>
      <c r="E18" s="41">
        <f>SUM(E8:E17)</f>
        <v>683136.5</v>
      </c>
      <c r="F18" s="41">
        <f>SUM(F8:F17)</f>
        <v>2198010.09</v>
      </c>
      <c r="G18" s="41">
        <f>SUM(G8:G17)</f>
        <v>403101.65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335015.90000000002</v>
      </c>
      <c r="D21" s="95">
        <f>'DOE25'!G22</f>
        <v>0</v>
      </c>
      <c r="E21" s="95">
        <f>'DOE25'!H22</f>
        <v>182674.82</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73357.37</v>
      </c>
      <c r="D23" s="95">
        <f>'DOE25'!G24</f>
        <v>0</v>
      </c>
      <c r="E23" s="95">
        <f>'DOE25'!H24</f>
        <v>6325.55</v>
      </c>
      <c r="F23" s="95">
        <f>'DOE25'!I24</f>
        <v>2653.45</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538.25</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6151.27</v>
      </c>
      <c r="D29" s="95">
        <f>'DOE25'!G30</f>
        <v>74338.080000000002</v>
      </c>
      <c r="E29" s="95">
        <f>'DOE25'!H30</f>
        <v>100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415062.79000000004</v>
      </c>
      <c r="D31" s="41">
        <f>SUM(D21:D30)</f>
        <v>74338.080000000002</v>
      </c>
      <c r="E31" s="41">
        <f>SUM(E21:E30)</f>
        <v>189100.37</v>
      </c>
      <c r="F31" s="41">
        <f>SUM(F21:F30)</f>
        <v>2653.45</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13581</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350000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494036.13</v>
      </c>
      <c r="F47" s="95">
        <f>'DOE25'!I48</f>
        <v>2195356.64</v>
      </c>
      <c r="G47" s="95">
        <f>'DOE25'!J48</f>
        <v>403101.65</v>
      </c>
      <c r="H47" s="124"/>
      <c r="I47" s="124"/>
    </row>
    <row r="48" spans="1:9" x14ac:dyDescent="0.2">
      <c r="A48" s="1" t="s">
        <v>882</v>
      </c>
      <c r="B48" s="6">
        <v>753</v>
      </c>
      <c r="C48" s="95">
        <f>'DOE25'!F49</f>
        <v>130531.85</v>
      </c>
      <c r="D48" s="95">
        <f>'DOE25'!G49</f>
        <v>0</v>
      </c>
      <c r="E48" s="95">
        <f>'DOE25'!H49</f>
        <v>0</v>
      </c>
      <c r="F48" s="95">
        <f>'DOE25'!I49</f>
        <v>0</v>
      </c>
      <c r="G48" s="95">
        <f>'DOE25'!J49</f>
        <v>0</v>
      </c>
      <c r="H48" s="124"/>
      <c r="I48" s="124"/>
    </row>
    <row r="49" spans="1:9" ht="12" thickBot="1" x14ac:dyDescent="0.25">
      <c r="A49" s="29" t="s">
        <v>883</v>
      </c>
      <c r="B49" s="71">
        <v>770</v>
      </c>
      <c r="C49" s="95">
        <f>'DOE25'!F50</f>
        <v>667657.93000000005</v>
      </c>
      <c r="D49" s="24" t="s">
        <v>288</v>
      </c>
      <c r="E49" s="24" t="s">
        <v>288</v>
      </c>
      <c r="F49" s="24" t="s">
        <v>288</v>
      </c>
      <c r="G49" s="24" t="s">
        <v>288</v>
      </c>
      <c r="H49" s="124"/>
      <c r="I49" s="124"/>
    </row>
    <row r="50" spans="1:9" ht="12.75" thickTop="1" thickBot="1" x14ac:dyDescent="0.25">
      <c r="A50" s="38" t="s">
        <v>884</v>
      </c>
      <c r="B50" s="48"/>
      <c r="C50" s="41">
        <f>SUM(C34:C49)</f>
        <v>1161770.78</v>
      </c>
      <c r="D50" s="41">
        <f>SUM(D34:D49)</f>
        <v>0</v>
      </c>
      <c r="E50" s="41">
        <f>SUM(E34:E49)</f>
        <v>494036.13</v>
      </c>
      <c r="F50" s="41">
        <f>SUM(F34:F49)</f>
        <v>2195356.64</v>
      </c>
      <c r="G50" s="41">
        <f>SUM(G34:G49)</f>
        <v>403101.65</v>
      </c>
      <c r="H50" s="124"/>
      <c r="I50" s="124"/>
    </row>
    <row r="51" spans="1:9" ht="12" thickTop="1" x14ac:dyDescent="0.2">
      <c r="A51" s="38" t="s">
        <v>885</v>
      </c>
      <c r="B51" s="2"/>
      <c r="C51" s="41">
        <f>C50+C31</f>
        <v>1576833.57</v>
      </c>
      <c r="D51" s="41">
        <f>D50+D31</f>
        <v>74338.080000000002</v>
      </c>
      <c r="E51" s="41">
        <f>E50+E31</f>
        <v>683136.5</v>
      </c>
      <c r="F51" s="41">
        <f>F50+F31</f>
        <v>2198010.0900000003</v>
      </c>
      <c r="G51" s="41">
        <f>G50+G31</f>
        <v>403101.65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37825825</v>
      </c>
      <c r="D56" s="95">
        <f>'DOE25'!G60</f>
        <v>0</v>
      </c>
      <c r="E56" s="95">
        <f>'DOE25'!H60</f>
        <v>0</v>
      </c>
      <c r="F56" s="95">
        <f>'DOE25'!I60</f>
        <v>0</v>
      </c>
      <c r="G56" s="95">
        <f>'DOE25'!J60</f>
        <v>0</v>
      </c>
      <c r="H56"/>
      <c r="I56"/>
    </row>
    <row r="57" spans="1:9" x14ac:dyDescent="0.2">
      <c r="A57" s="1" t="s">
        <v>164</v>
      </c>
      <c r="B57" s="6" t="s">
        <v>165</v>
      </c>
      <c r="C57" s="95">
        <f>'DOE25'!F79</f>
        <v>89946.25</v>
      </c>
      <c r="D57" s="24" t="s">
        <v>288</v>
      </c>
      <c r="E57" s="95">
        <f>'DOE25'!H79</f>
        <v>91915.35</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33067.14</v>
      </c>
      <c r="D59" s="95">
        <f>'DOE25'!G96</f>
        <v>0</v>
      </c>
      <c r="E59" s="95">
        <f>'DOE25'!H96</f>
        <v>0</v>
      </c>
      <c r="F59" s="95">
        <f>'DOE25'!I96</f>
        <v>51965.599999999999</v>
      </c>
      <c r="G59" s="95">
        <f>'DOE25'!J96</f>
        <v>284.75</v>
      </c>
      <c r="H59"/>
      <c r="I59"/>
    </row>
    <row r="60" spans="1:9" x14ac:dyDescent="0.2">
      <c r="A60" s="1" t="s">
        <v>170</v>
      </c>
      <c r="B60" s="118" t="s">
        <v>171</v>
      </c>
      <c r="C60" s="24" t="s">
        <v>288</v>
      </c>
      <c r="D60" s="95">
        <f>'DOE25'!G97</f>
        <v>479939.22</v>
      </c>
      <c r="E60" s="24" t="s">
        <v>288</v>
      </c>
      <c r="F60" s="24" t="s">
        <v>288</v>
      </c>
      <c r="G60" s="24" t="s">
        <v>288</v>
      </c>
      <c r="H60"/>
      <c r="I60"/>
    </row>
    <row r="61" spans="1:9" ht="12" thickBot="1" x14ac:dyDescent="0.25">
      <c r="A61" s="1" t="s">
        <v>172</v>
      </c>
      <c r="B61" s="118" t="s">
        <v>173</v>
      </c>
      <c r="C61" s="95">
        <f>SUM('DOE25'!F98:F110)</f>
        <v>500560</v>
      </c>
      <c r="D61" s="95">
        <f>SUM('DOE25'!G98:G110)</f>
        <v>8667.2000000000007</v>
      </c>
      <c r="E61" s="95">
        <f>SUM('DOE25'!H98:H110)</f>
        <v>119729.41</v>
      </c>
      <c r="F61" s="95">
        <f>SUM('DOE25'!I98:I110)</f>
        <v>85223.6</v>
      </c>
      <c r="G61" s="95">
        <f>SUM('DOE25'!J98:J110)</f>
        <v>0</v>
      </c>
      <c r="H61"/>
      <c r="I61"/>
    </row>
    <row r="62" spans="1:9" ht="12.75" thickTop="1" thickBot="1" x14ac:dyDescent="0.25">
      <c r="A62" s="29" t="s">
        <v>174</v>
      </c>
      <c r="B62" s="6"/>
      <c r="C62" s="130">
        <f>SUM(C57:C61)</f>
        <v>623573.39</v>
      </c>
      <c r="D62" s="130">
        <f>SUM(D57:D61)</f>
        <v>488606.42</v>
      </c>
      <c r="E62" s="130">
        <f>SUM(E57:E61)</f>
        <v>211644.76</v>
      </c>
      <c r="F62" s="130">
        <f>SUM(F57:F61)</f>
        <v>137189.20000000001</v>
      </c>
      <c r="G62" s="130">
        <f>SUM(G57:G61)</f>
        <v>284.75</v>
      </c>
      <c r="H62"/>
      <c r="I62"/>
    </row>
    <row r="63" spans="1:9" ht="12" thickTop="1" x14ac:dyDescent="0.2">
      <c r="A63" s="29" t="s">
        <v>175</v>
      </c>
      <c r="B63" s="6"/>
      <c r="C63" s="22">
        <f>C56+C62</f>
        <v>38449398.390000001</v>
      </c>
      <c r="D63" s="22">
        <f>D56+D62</f>
        <v>488606.42</v>
      </c>
      <c r="E63" s="22">
        <f>E56+E62</f>
        <v>211644.76</v>
      </c>
      <c r="F63" s="22">
        <f>F56+F62</f>
        <v>137189.20000000001</v>
      </c>
      <c r="G63" s="22">
        <f>G56+G62</f>
        <v>284.75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6329929.4500000002</v>
      </c>
      <c r="D66" s="24" t="s">
        <v>288</v>
      </c>
      <c r="E66" s="24" t="s">
        <v>288</v>
      </c>
      <c r="F66" s="24" t="s">
        <v>288</v>
      </c>
      <c r="G66" s="24" t="s">
        <v>288</v>
      </c>
      <c r="H66"/>
      <c r="I66"/>
    </row>
    <row r="67" spans="1:9" x14ac:dyDescent="0.2">
      <c r="A67" s="1" t="s">
        <v>770</v>
      </c>
      <c r="B67" s="6">
        <v>3112</v>
      </c>
      <c r="C67" s="95">
        <f>'DOE25'!F118</f>
        <v>5454666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19549.95</v>
      </c>
      <c r="D69" s="95">
        <f>'DOE25'!G120</f>
        <v>0</v>
      </c>
      <c r="E69" s="95">
        <f>'DOE25'!H120</f>
        <v>203044</v>
      </c>
      <c r="F69" s="95">
        <f>'DOE25'!I120</f>
        <v>0</v>
      </c>
      <c r="G69" s="95">
        <f>'DOE25'!J120</f>
        <v>0</v>
      </c>
      <c r="H69"/>
      <c r="I69"/>
    </row>
    <row r="70" spans="1:9" ht="12" thickTop="1" x14ac:dyDescent="0.2">
      <c r="A70" s="29" t="s">
        <v>252</v>
      </c>
      <c r="B70" s="2"/>
      <c r="C70" s="139">
        <f>SUM(C66:C69)</f>
        <v>11804145.399999999</v>
      </c>
      <c r="D70" s="139">
        <f>D69</f>
        <v>0</v>
      </c>
      <c r="E70" s="139">
        <f>E69</f>
        <v>203044</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602994.56000000006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589792.43999999994</v>
      </c>
      <c r="D75" s="24" t="s">
        <v>288</v>
      </c>
      <c r="E75" s="24" t="s">
        <v>288</v>
      </c>
      <c r="F75" s="24" t="s">
        <v>288</v>
      </c>
      <c r="G75" s="24" t="s">
        <v>288</v>
      </c>
      <c r="H75"/>
      <c r="I75"/>
    </row>
    <row r="76" spans="1:9" x14ac:dyDescent="0.2">
      <c r="A76" s="1" t="s">
        <v>257</v>
      </c>
      <c r="B76" s="6" t="s">
        <v>179</v>
      </c>
      <c r="C76" s="95">
        <f>SUM('DOE25'!F127:F130)</f>
        <v>12509.8</v>
      </c>
      <c r="D76" s="24" t="s">
        <v>288</v>
      </c>
      <c r="E76" s="95">
        <f>SUM('DOE25'!H127:H130)</f>
        <v>1891.95</v>
      </c>
      <c r="F76" s="95">
        <f>SUM('DOE25'!I127:I130)</f>
        <v>0</v>
      </c>
      <c r="G76" s="24" t="s">
        <v>288</v>
      </c>
      <c r="H76"/>
      <c r="I76"/>
    </row>
    <row r="77" spans="1:9" ht="12" thickBot="1" x14ac:dyDescent="0.25">
      <c r="A77" s="1" t="s">
        <v>258</v>
      </c>
      <c r="B77" s="6" t="s">
        <v>180</v>
      </c>
      <c r="C77" s="95">
        <f>SUM('DOE25'!F131:F135)</f>
        <v>0</v>
      </c>
      <c r="D77" s="95">
        <f>SUM('DOE25'!G131:G135)</f>
        <v>9407.31</v>
      </c>
      <c r="E77" s="95">
        <f>SUM('DOE25'!H131:H135)</f>
        <v>0</v>
      </c>
      <c r="F77" s="95">
        <f>SUM('DOE25'!I131:I135)</f>
        <v>0</v>
      </c>
      <c r="G77" s="95">
        <f>SUM('DOE25'!J131:J135)</f>
        <v>0</v>
      </c>
      <c r="H77"/>
      <c r="I77"/>
    </row>
    <row r="78" spans="1:9" ht="12.75" thickTop="1" thickBot="1" x14ac:dyDescent="0.25">
      <c r="A78" s="29" t="s">
        <v>259</v>
      </c>
      <c r="B78" s="6"/>
      <c r="C78" s="130">
        <f>SUM(C72:C77)</f>
        <v>1205296.8</v>
      </c>
      <c r="D78" s="130">
        <f>SUM(D72:D77)</f>
        <v>9407.31</v>
      </c>
      <c r="E78" s="130">
        <f>SUM(E72:E77)</f>
        <v>1891.95</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13009442.199999999</v>
      </c>
      <c r="D81" s="130">
        <f>SUM(D79:D80)+D78+D70</f>
        <v>9407.31</v>
      </c>
      <c r="E81" s="130">
        <f>SUM(E79:E80)+E78+E70</f>
        <v>204935.95</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21653.21</v>
      </c>
      <c r="D88" s="341">
        <f>SUM('DOE25'!G153:G162)</f>
        <v>113270.88</v>
      </c>
      <c r="E88" s="341">
        <f>SUM('DOE25'!H153:H162)</f>
        <v>738346.7</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21653.21</v>
      </c>
      <c r="D91" s="131">
        <f>SUM(D85:D90)</f>
        <v>113270.88</v>
      </c>
      <c r="E91" s="131">
        <f>SUM(E85:E90)</f>
        <v>738346.7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14939.09</v>
      </c>
      <c r="E96" s="95">
        <f>'DOE25'!H180</f>
        <v>0</v>
      </c>
      <c r="F96" s="95">
        <f>'DOE25'!I180</f>
        <v>0</v>
      </c>
      <c r="G96" s="95">
        <f>'DOE25'!J180</f>
        <v>100000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1598461.5</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1598461.5</v>
      </c>
      <c r="D103" s="86">
        <f>SUM(D93:D102)</f>
        <v>14939.09</v>
      </c>
      <c r="E103" s="86">
        <f>SUM(E93:E102)</f>
        <v>0</v>
      </c>
      <c r="F103" s="86">
        <f>SUM(F93:F102)</f>
        <v>0</v>
      </c>
      <c r="G103" s="86">
        <f>SUM(G93:G102)</f>
        <v>100000</v>
      </c>
    </row>
    <row r="104" spans="1:7" ht="12.75" thickTop="1" thickBot="1" x14ac:dyDescent="0.25">
      <c r="A104" s="33" t="s">
        <v>761</v>
      </c>
      <c r="C104" s="86">
        <f>C63+C81+C91+C103</f>
        <v>53078955.300000004</v>
      </c>
      <c r="D104" s="86">
        <f>D63+D81+D91+D103</f>
        <v>626223.69999999995</v>
      </c>
      <c r="E104" s="86">
        <f>E63+E81+E91+E103</f>
        <v>1154927.4099999999</v>
      </c>
      <c r="F104" s="86">
        <f>F63+F81+F91+F103</f>
        <v>137189.20000000001</v>
      </c>
      <c r="G104" s="86">
        <f>G63+G81+G103</f>
        <v>100284.75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20200893.850000001</v>
      </c>
      <c r="D109" s="24" t="s">
        <v>288</v>
      </c>
      <c r="E109" s="95">
        <f>('DOE25'!L277)+('DOE25'!L296)+('DOE25'!L315)</f>
        <v>79080.17</v>
      </c>
      <c r="F109" s="24" t="s">
        <v>288</v>
      </c>
      <c r="G109" s="24" t="s">
        <v>288</v>
      </c>
    </row>
    <row r="110" spans="1:7" x14ac:dyDescent="0.2">
      <c r="A110" t="s">
        <v>198</v>
      </c>
      <c r="B110" s="32" t="s">
        <v>199</v>
      </c>
      <c r="C110" s="95">
        <f>('DOE25'!L199)+('DOE25'!L217)+('DOE25'!L235)</f>
        <v>8549683.3399999999</v>
      </c>
      <c r="D110" s="24" t="s">
        <v>288</v>
      </c>
      <c r="E110" s="95">
        <f>('DOE25'!L278)+('DOE25'!L297)+('DOE25'!L316)</f>
        <v>613168.81999999995</v>
      </c>
      <c r="F110" s="24" t="s">
        <v>288</v>
      </c>
      <c r="G110" s="24" t="s">
        <v>288</v>
      </c>
    </row>
    <row r="111" spans="1:7" x14ac:dyDescent="0.2">
      <c r="A111" t="s">
        <v>200</v>
      </c>
      <c r="B111" s="32" t="s">
        <v>165</v>
      </c>
      <c r="C111" s="95">
        <f>('DOE25'!L200)+('DOE25'!L218)+('DOE25'!L236)</f>
        <v>239833.34</v>
      </c>
      <c r="D111" s="24" t="s">
        <v>288</v>
      </c>
      <c r="E111" s="95">
        <f>('DOE25'!L279)+('DOE25'!L298)+('DOE25'!L317)</f>
        <v>0</v>
      </c>
      <c r="F111" s="24" t="s">
        <v>288</v>
      </c>
      <c r="G111" s="24" t="s">
        <v>288</v>
      </c>
    </row>
    <row r="112" spans="1:7" x14ac:dyDescent="0.2">
      <c r="A112" t="s">
        <v>201</v>
      </c>
      <c r="B112" s="32" t="s">
        <v>167</v>
      </c>
      <c r="C112" s="95">
        <f>('DOE25'!L201)+('DOE25'!L219)+('DOE25'!L237)</f>
        <v>1044247.8300000001</v>
      </c>
      <c r="D112" s="24" t="s">
        <v>288</v>
      </c>
      <c r="E112" s="95">
        <f>+('DOE25'!L280)+('DOE25'!L299)+('DOE25'!L318)</f>
        <v>24388.59</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30034658.359999999</v>
      </c>
      <c r="D115" s="86">
        <f>SUM(D109:D114)</f>
        <v>0</v>
      </c>
      <c r="E115" s="86">
        <f>SUM(E109:E114)</f>
        <v>716637.58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4164153.23</v>
      </c>
      <c r="D118" s="24" t="s">
        <v>288</v>
      </c>
      <c r="E118" s="95">
        <f>+('DOE25'!L282)+('DOE25'!L301)+('DOE25'!L320)</f>
        <v>44046.239999999998</v>
      </c>
      <c r="F118" s="24" t="s">
        <v>288</v>
      </c>
      <c r="G118" s="24" t="s">
        <v>288</v>
      </c>
    </row>
    <row r="119" spans="1:7" x14ac:dyDescent="0.2">
      <c r="A119" t="s">
        <v>208</v>
      </c>
      <c r="B119" s="32" t="s">
        <v>209</v>
      </c>
      <c r="C119" s="95">
        <f>('DOE25'!L204)+('DOE25'!L222)+('DOE25'!L240)</f>
        <v>2617733.79</v>
      </c>
      <c r="D119" s="24" t="s">
        <v>288</v>
      </c>
      <c r="E119" s="95">
        <f>+('DOE25'!L283)+('DOE25'!L302)+('DOE25'!L321)</f>
        <v>79093.09</v>
      </c>
      <c r="F119" s="24" t="s">
        <v>288</v>
      </c>
      <c r="G119" s="24" t="s">
        <v>288</v>
      </c>
    </row>
    <row r="120" spans="1:7" x14ac:dyDescent="0.2">
      <c r="A120" t="s">
        <v>210</v>
      </c>
      <c r="B120" s="32" t="s">
        <v>211</v>
      </c>
      <c r="C120" s="95">
        <f>('DOE25'!L205)+('DOE25'!L223)+('DOE25'!L241)</f>
        <v>2290295.2400000002</v>
      </c>
      <c r="D120" s="24" t="s">
        <v>288</v>
      </c>
      <c r="E120" s="95">
        <f>+('DOE25'!L284)+('DOE25'!L303)+('DOE25'!L322)</f>
        <v>0</v>
      </c>
      <c r="F120" s="24" t="s">
        <v>288</v>
      </c>
      <c r="G120" s="24" t="s">
        <v>288</v>
      </c>
    </row>
    <row r="121" spans="1:7" x14ac:dyDescent="0.2">
      <c r="A121" t="s">
        <v>212</v>
      </c>
      <c r="B121" s="32" t="s">
        <v>213</v>
      </c>
      <c r="C121" s="95">
        <f>('DOE25'!L206)+('DOE25'!L224)+('DOE25'!L242)</f>
        <v>2283952.08</v>
      </c>
      <c r="D121" s="24" t="s">
        <v>288</v>
      </c>
      <c r="E121" s="95">
        <f>+('DOE25'!L285)+('DOE25'!L304)+('DOE25'!L323)</f>
        <v>8736.56</v>
      </c>
      <c r="F121" s="24" t="s">
        <v>288</v>
      </c>
      <c r="G121" s="24" t="s">
        <v>288</v>
      </c>
    </row>
    <row r="122" spans="1:7" x14ac:dyDescent="0.2">
      <c r="A122" t="s">
        <v>214</v>
      </c>
      <c r="B122" s="32" t="s">
        <v>215</v>
      </c>
      <c r="C122" s="95">
        <f>('DOE25'!L207)+('DOE25'!L225)+('DOE25'!L243)</f>
        <v>687551.76</v>
      </c>
      <c r="D122" s="24" t="s">
        <v>288</v>
      </c>
      <c r="E122" s="95">
        <f>+('DOE25'!L286)+('DOE25'!L305)+('DOE25'!L324)</f>
        <v>0</v>
      </c>
      <c r="F122" s="24" t="s">
        <v>288</v>
      </c>
      <c r="G122" s="24" t="s">
        <v>288</v>
      </c>
    </row>
    <row r="123" spans="1:7" x14ac:dyDescent="0.2">
      <c r="A123" t="s">
        <v>216</v>
      </c>
      <c r="B123" s="32" t="s">
        <v>217</v>
      </c>
      <c r="C123" s="95">
        <f>('DOE25'!L208)+('DOE25'!L226)+('DOE25'!L244)</f>
        <v>4500482.1100000003</v>
      </c>
      <c r="D123" s="24" t="s">
        <v>288</v>
      </c>
      <c r="E123" s="95">
        <f>+('DOE25'!L287)+('DOE25'!L306)+('DOE25'!L325)</f>
        <v>219282.66</v>
      </c>
      <c r="F123" s="24" t="s">
        <v>288</v>
      </c>
      <c r="G123" s="24" t="s">
        <v>288</v>
      </c>
    </row>
    <row r="124" spans="1:7" x14ac:dyDescent="0.2">
      <c r="A124" t="s">
        <v>218</v>
      </c>
      <c r="B124" s="32" t="s">
        <v>219</v>
      </c>
      <c r="C124" s="95">
        <f>('DOE25'!L209)+('DOE25'!L227)+('DOE25'!L245+'DOE25'!L255)</f>
        <v>2746243.39</v>
      </c>
      <c r="D124" s="24" t="s">
        <v>288</v>
      </c>
      <c r="E124" s="95">
        <f>+('DOE25'!L288)+('DOE25'!L307)+('DOE25'!L326)</f>
        <v>0</v>
      </c>
      <c r="F124" s="24" t="s">
        <v>288</v>
      </c>
      <c r="G124" s="24" t="s">
        <v>288</v>
      </c>
    </row>
    <row r="125" spans="1:7" x14ac:dyDescent="0.2">
      <c r="A125" t="s">
        <v>220</v>
      </c>
      <c r="B125" s="32" t="s">
        <v>221</v>
      </c>
      <c r="C125" s="95">
        <f>('DOE25'!L210)+('DOE25'!L228)+('DOE25'!L246)</f>
        <v>37296.519999999997</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727433.44</v>
      </c>
      <c r="E127" s="24" t="s">
        <v>288</v>
      </c>
      <c r="F127" s="24" t="s">
        <v>288</v>
      </c>
      <c r="G127" s="24" t="s">
        <v>288</v>
      </c>
    </row>
    <row r="128" spans="1:7" ht="12.75" thickTop="1" thickBot="1" x14ac:dyDescent="0.25">
      <c r="A128" s="33" t="s">
        <v>226</v>
      </c>
      <c r="C128" s="86">
        <f>SUM(C118:C127)</f>
        <v>19327708.120000001</v>
      </c>
      <c r="D128" s="86">
        <f>SUM(D118:D127)</f>
        <v>727433.44</v>
      </c>
      <c r="E128" s="86">
        <f>SUM(E118:E127)</f>
        <v>351158.55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35179</v>
      </c>
      <c r="D130" s="24" t="s">
        <v>288</v>
      </c>
      <c r="E130" s="129">
        <f>'DOE25'!L337</f>
        <v>0</v>
      </c>
      <c r="F130" s="129">
        <f>SUM('DOE25'!L375:'DOE25'!L381)</f>
        <v>6194756.1799999997</v>
      </c>
      <c r="G130" s="24" t="s">
        <v>288</v>
      </c>
    </row>
    <row r="131" spans="1:7" x14ac:dyDescent="0.2">
      <c r="A131" t="s">
        <v>229</v>
      </c>
      <c r="B131" s="32">
        <v>5110</v>
      </c>
      <c r="C131" s="95">
        <f>'DOE25'!L261</f>
        <v>3405000</v>
      </c>
      <c r="D131" s="24" t="s">
        <v>288</v>
      </c>
      <c r="E131" s="129">
        <f>'DOE25'!L342</f>
        <v>0</v>
      </c>
      <c r="F131" s="24" t="s">
        <v>288</v>
      </c>
      <c r="G131" s="24" t="s">
        <v>288</v>
      </c>
    </row>
    <row r="132" spans="1:7" x14ac:dyDescent="0.2">
      <c r="A132" t="s">
        <v>230</v>
      </c>
      <c r="B132" s="32">
        <v>5120</v>
      </c>
      <c r="C132" s="95">
        <f>'DOE25'!L262</f>
        <v>1757078</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4107</v>
      </c>
      <c r="G134" s="95">
        <f>'DOE25'!K435</f>
        <v>0</v>
      </c>
    </row>
    <row r="135" spans="1:7" x14ac:dyDescent="0.2">
      <c r="A135" t="s">
        <v>233</v>
      </c>
      <c r="B135" s="32" t="s">
        <v>234</v>
      </c>
      <c r="C135" s="95">
        <f>'DOE25'!L264</f>
        <v>14939.09</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17.54</v>
      </c>
      <c r="D138" s="24" t="s">
        <v>288</v>
      </c>
      <c r="E138" s="24" t="s">
        <v>288</v>
      </c>
      <c r="F138" s="24" t="s">
        <v>288</v>
      </c>
      <c r="G138" s="24" t="s">
        <v>288</v>
      </c>
    </row>
    <row r="139" spans="1:7" x14ac:dyDescent="0.2">
      <c r="A139" t="s">
        <v>239</v>
      </c>
      <c r="B139" s="32">
        <v>5252</v>
      </c>
      <c r="C139" s="95">
        <f>'DOE25'!L402</f>
        <v>100267.20999999999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-284.74999999998545</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5312196.09</v>
      </c>
      <c r="D144" s="141">
        <f>SUM(D130:D143)</f>
        <v>0</v>
      </c>
      <c r="E144" s="141">
        <f>SUM(E130:E143)</f>
        <v>0</v>
      </c>
      <c r="F144" s="141">
        <f>SUM(F130:F143)</f>
        <v>6198863.1799999997</v>
      </c>
      <c r="G144" s="141">
        <f>SUM(G130:G143)</f>
        <v>0</v>
      </c>
    </row>
    <row r="145" spans="1:9" ht="12.75" thickTop="1" thickBot="1" x14ac:dyDescent="0.25">
      <c r="A145" s="33" t="s">
        <v>244</v>
      </c>
      <c r="C145" s="86">
        <f>(C115+C128+C144)</f>
        <v>54674562.570000008</v>
      </c>
      <c r="D145" s="86">
        <f>(D115+D128+D144)</f>
        <v>727433.44</v>
      </c>
      <c r="E145" s="86">
        <f>(E115+E128+E144)</f>
        <v>1067796.1299999999</v>
      </c>
      <c r="F145" s="86">
        <f>(F115+F128+F144)</f>
        <v>6198863.1799999997</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11</v>
      </c>
      <c r="C151" s="153">
        <f>'DOE25'!G491</f>
        <v>20</v>
      </c>
      <c r="D151" s="153">
        <f>'DOE25'!H491</f>
        <v>0</v>
      </c>
      <c r="E151" s="153">
        <f>'DOE25'!I491</f>
        <v>0</v>
      </c>
      <c r="F151" s="153">
        <f>'DOE25'!J491</f>
        <v>0</v>
      </c>
      <c r="G151" s="24" t="s">
        <v>288</v>
      </c>
    </row>
    <row r="152" spans="1:9" x14ac:dyDescent="0.2">
      <c r="A152" s="136" t="s">
        <v>28</v>
      </c>
      <c r="B152" s="152" t="str">
        <f>'DOE25'!F492</f>
        <v>Refi 1/15/15</v>
      </c>
      <c r="C152" s="152" t="str">
        <f>'DOE25'!G492</f>
        <v>8/2017</v>
      </c>
      <c r="D152" s="152">
        <f>'DOE25'!H492</f>
        <v>0</v>
      </c>
      <c r="E152" s="152">
        <f>'DOE25'!I492</f>
        <v>0</v>
      </c>
      <c r="F152" s="152">
        <f>'DOE25'!J492</f>
        <v>0</v>
      </c>
      <c r="G152" s="24" t="s">
        <v>288</v>
      </c>
    </row>
    <row r="153" spans="1:9" x14ac:dyDescent="0.2">
      <c r="A153" s="136" t="s">
        <v>29</v>
      </c>
      <c r="B153" s="152" t="str">
        <f>'DOE25'!F493</f>
        <v>7/2025</v>
      </c>
      <c r="C153" s="152" t="str">
        <f>'DOE25'!G493</f>
        <v>8/2037</v>
      </c>
      <c r="D153" s="152">
        <f>'DOE25'!H493</f>
        <v>0</v>
      </c>
      <c r="E153" s="152">
        <f>'DOE25'!I493</f>
        <v>0</v>
      </c>
      <c r="F153" s="152">
        <f>'DOE25'!J493</f>
        <v>0</v>
      </c>
      <c r="G153" s="24" t="s">
        <v>288</v>
      </c>
    </row>
    <row r="154" spans="1:9" x14ac:dyDescent="0.2">
      <c r="A154" s="136" t="s">
        <v>30</v>
      </c>
      <c r="B154" s="137">
        <f>'DOE25'!F494</f>
        <v>19305000</v>
      </c>
      <c r="C154" s="137">
        <f>'DOE25'!G494</f>
        <v>38107102</v>
      </c>
      <c r="D154" s="137">
        <f>'DOE25'!H494</f>
        <v>0</v>
      </c>
      <c r="E154" s="137">
        <f>'DOE25'!I494</f>
        <v>0</v>
      </c>
      <c r="F154" s="137">
        <f>'DOE25'!J494</f>
        <v>0</v>
      </c>
      <c r="G154" s="24" t="s">
        <v>288</v>
      </c>
    </row>
    <row r="155" spans="1:9" x14ac:dyDescent="0.2">
      <c r="A155" s="136" t="s">
        <v>31</v>
      </c>
      <c r="B155" s="137">
        <f>'DOE25'!F495</f>
        <v>3</v>
      </c>
      <c r="C155" s="137">
        <f>'DOE25'!G495</f>
        <v>2.67</v>
      </c>
      <c r="D155" s="137">
        <f>'DOE25'!H495</f>
        <v>0</v>
      </c>
      <c r="E155" s="137">
        <f>'DOE25'!I495</f>
        <v>0</v>
      </c>
      <c r="F155" s="137">
        <f>'DOE25'!J495</f>
        <v>0</v>
      </c>
      <c r="G155" s="24" t="s">
        <v>288</v>
      </c>
    </row>
    <row r="156" spans="1:9" x14ac:dyDescent="0.2">
      <c r="A156" s="22" t="s">
        <v>32</v>
      </c>
      <c r="B156" s="137">
        <f>'DOE25'!F496</f>
        <v>0</v>
      </c>
      <c r="C156" s="137">
        <f>'DOE25'!G496</f>
        <v>30600000</v>
      </c>
      <c r="D156" s="137">
        <f>'DOE25'!H496</f>
        <v>0</v>
      </c>
      <c r="E156" s="137">
        <f>'DOE25'!I496</f>
        <v>0</v>
      </c>
      <c r="F156" s="137">
        <f>'DOE25'!J496</f>
        <v>0</v>
      </c>
      <c r="G156" s="138">
        <f>SUM(B156:F156)</f>
        <v>30600000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1700000</v>
      </c>
      <c r="C158" s="137">
        <f>'DOE25'!G498</f>
        <v>1705000</v>
      </c>
      <c r="D158" s="137">
        <f>'DOE25'!H498</f>
        <v>0</v>
      </c>
      <c r="E158" s="137">
        <f>'DOE25'!I498</f>
        <v>0</v>
      </c>
      <c r="F158" s="137">
        <f>'DOE25'!J498</f>
        <v>0</v>
      </c>
      <c r="G158" s="138">
        <f t="shared" si="0"/>
        <v>3405000</v>
      </c>
    </row>
    <row r="159" spans="1:9" x14ac:dyDescent="0.2">
      <c r="A159" s="22" t="s">
        <v>35</v>
      </c>
      <c r="B159" s="137">
        <f>'DOE25'!F499</f>
        <v>10200000</v>
      </c>
      <c r="C159" s="137">
        <f>'DOE25'!G499</f>
        <v>30600000</v>
      </c>
      <c r="D159" s="137">
        <f>'DOE25'!H499</f>
        <v>0</v>
      </c>
      <c r="E159" s="137">
        <f>'DOE25'!I499</f>
        <v>0</v>
      </c>
      <c r="F159" s="137">
        <f>'DOE25'!J499</f>
        <v>0</v>
      </c>
      <c r="G159" s="138">
        <f t="shared" si="0"/>
        <v>40800000</v>
      </c>
    </row>
    <row r="160" spans="1:9" x14ac:dyDescent="0.2">
      <c r="A160" s="22" t="s">
        <v>36</v>
      </c>
      <c r="B160" s="137">
        <f>'DOE25'!F500</f>
        <v>1236750</v>
      </c>
      <c r="C160" s="137">
        <f>'DOE25'!G500</f>
        <v>10662400</v>
      </c>
      <c r="D160" s="137">
        <f>'DOE25'!H500</f>
        <v>0</v>
      </c>
      <c r="E160" s="137">
        <f>'DOE25'!I500</f>
        <v>0</v>
      </c>
      <c r="F160" s="137">
        <f>'DOE25'!J500</f>
        <v>0</v>
      </c>
      <c r="G160" s="138">
        <f t="shared" si="0"/>
        <v>11899150</v>
      </c>
    </row>
    <row r="161" spans="1:7" x14ac:dyDescent="0.2">
      <c r="A161" s="22" t="s">
        <v>37</v>
      </c>
      <c r="B161" s="137">
        <f>'DOE25'!F501</f>
        <v>11436750</v>
      </c>
      <c r="C161" s="137">
        <f>'DOE25'!G501</f>
        <v>41262400</v>
      </c>
      <c r="D161" s="137">
        <f>'DOE25'!H501</f>
        <v>0</v>
      </c>
      <c r="E161" s="137">
        <f>'DOE25'!I501</f>
        <v>0</v>
      </c>
      <c r="F161" s="137">
        <f>'DOE25'!J501</f>
        <v>0</v>
      </c>
      <c r="G161" s="138">
        <f t="shared" si="0"/>
        <v>52699150</v>
      </c>
    </row>
    <row r="162" spans="1:7" x14ac:dyDescent="0.2">
      <c r="A162" s="22" t="s">
        <v>38</v>
      </c>
      <c r="B162" s="137">
        <f>'DOE25'!F502</f>
        <v>1700000</v>
      </c>
      <c r="C162" s="137">
        <f>'DOE25'!G502</f>
        <v>1700000</v>
      </c>
      <c r="D162" s="137">
        <f>'DOE25'!H502</f>
        <v>0</v>
      </c>
      <c r="E162" s="137">
        <f>'DOE25'!I502</f>
        <v>0</v>
      </c>
      <c r="F162" s="137">
        <f>'DOE25'!J502</f>
        <v>0</v>
      </c>
      <c r="G162" s="138">
        <f t="shared" si="0"/>
        <v>3400000</v>
      </c>
    </row>
    <row r="163" spans="1:7" x14ac:dyDescent="0.2">
      <c r="A163" s="22" t="s">
        <v>39</v>
      </c>
      <c r="B163" s="137">
        <f>'DOE25'!F503</f>
        <v>340000</v>
      </c>
      <c r="C163" s="137">
        <f>'DOE25'!G503</f>
        <v>1279250</v>
      </c>
      <c r="D163" s="137">
        <f>'DOE25'!H503</f>
        <v>0</v>
      </c>
      <c r="E163" s="137">
        <f>'DOE25'!I503</f>
        <v>0</v>
      </c>
      <c r="F163" s="137">
        <f>'DOE25'!J503</f>
        <v>0</v>
      </c>
      <c r="G163" s="138">
        <f t="shared" si="0"/>
        <v>1619250</v>
      </c>
    </row>
    <row r="164" spans="1:7" x14ac:dyDescent="0.2">
      <c r="A164" s="22" t="s">
        <v>246</v>
      </c>
      <c r="B164" s="137">
        <f>'DOE25'!F504</f>
        <v>2040000</v>
      </c>
      <c r="C164" s="137">
        <f>'DOE25'!G504</f>
        <v>2979250</v>
      </c>
      <c r="D164" s="137">
        <f>'DOE25'!H504</f>
        <v>0</v>
      </c>
      <c r="E164" s="137">
        <f>'DOE25'!I504</f>
        <v>0</v>
      </c>
      <c r="F164" s="137">
        <f>'DOE25'!J504</f>
        <v>0</v>
      </c>
      <c r="G164" s="138">
        <f t="shared" si="0"/>
        <v>5019250</v>
      </c>
    </row>
  </sheetData>
  <sheetProtection password="B10A" sheet="1" objects="1" scenarios="1"/>
  <phoneticPr fontId="0" type="noConversion"/>
  <printOptions gridLines="1" gridLinesSet="0"/>
  <pageMargins left="0.75" right="0.75" top="1" bottom="1" header="0.5" footer="0.5"/>
  <pageSetup scale="90" orientation="landscape" horizontalDpi="4294967295" verticalDpi="4294967295"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4" workbookViewId="0">
      <selection activeCell="L53" sqref="L5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Windham School District</v>
      </c>
    </row>
    <row r="3" spans="1:4" x14ac:dyDescent="0.2">
      <c r="B3" s="188" t="s">
        <v>1587</v>
      </c>
    </row>
    <row r="4" spans="1:4" x14ac:dyDescent="0.2">
      <c r="B4" t="s">
        <v>61</v>
      </c>
      <c r="C4" s="179">
        <f>IF('DOE25'!F666+'DOE25'!F671=0,0,ROUND('DOE25'!F673,0))</f>
        <v>15062</v>
      </c>
    </row>
    <row r="5" spans="1:4" x14ac:dyDescent="0.2">
      <c r="B5" t="s">
        <v>700</v>
      </c>
      <c r="C5" s="179">
        <f>IF('DOE25'!G666+'DOE25'!G671=0,0,ROUND('DOE25'!G673,0))</f>
        <v>0</v>
      </c>
    </row>
    <row r="6" spans="1:4" x14ac:dyDescent="0.2">
      <c r="B6" t="s">
        <v>62</v>
      </c>
      <c r="C6" s="179">
        <f>IF('DOE25'!H666+'DOE25'!H671=0,0,ROUND('DOE25'!H673,0))</f>
        <v>15987</v>
      </c>
    </row>
    <row r="7" spans="1:4" x14ac:dyDescent="0.2">
      <c r="B7" t="s">
        <v>701</v>
      </c>
      <c r="C7" s="179">
        <f>IF('DOE25'!I666+'DOE25'!I671=0,0,ROUND('DOE25'!I673,0))</f>
        <v>15363</v>
      </c>
    </row>
    <row r="9" spans="1:4" x14ac:dyDescent="0.2">
      <c r="A9" s="187" t="s">
        <v>94</v>
      </c>
      <c r="B9" s="188" t="s">
        <v>1588</v>
      </c>
      <c r="C9" s="181" t="s">
        <v>720</v>
      </c>
      <c r="D9" s="181" t="s">
        <v>721</v>
      </c>
    </row>
    <row r="10" spans="1:4" x14ac:dyDescent="0.2">
      <c r="A10">
        <v>1100</v>
      </c>
      <c r="B10" t="s">
        <v>702</v>
      </c>
      <c r="C10" s="179">
        <f>ROUND('DOE25'!L198+'DOE25'!L216+'DOE25'!L234+'DOE25'!L277+'DOE25'!L296+'DOE25'!L315,0)</f>
        <v>20279974</v>
      </c>
      <c r="D10" s="182">
        <f>ROUND((C10/$C$28)*100,1)</f>
        <v>38.700000000000003</v>
      </c>
    </row>
    <row r="11" spans="1:4" x14ac:dyDescent="0.2">
      <c r="A11">
        <v>1200</v>
      </c>
      <c r="B11" t="s">
        <v>703</v>
      </c>
      <c r="C11" s="179">
        <f>ROUND('DOE25'!L199+'DOE25'!L217+'DOE25'!L235+'DOE25'!L278+'DOE25'!L297+'DOE25'!L316,0)</f>
        <v>9162852</v>
      </c>
      <c r="D11" s="182">
        <f>ROUND((C11/$C$28)*100,1)</f>
        <v>17.5</v>
      </c>
    </row>
    <row r="12" spans="1:4" x14ac:dyDescent="0.2">
      <c r="A12">
        <v>1300</v>
      </c>
      <c r="B12" t="s">
        <v>704</v>
      </c>
      <c r="C12" s="179">
        <f>ROUND('DOE25'!L200+'DOE25'!L218+'DOE25'!L236+'DOE25'!L279+'DOE25'!L298+'DOE25'!L317,0)</f>
        <v>239833</v>
      </c>
      <c r="D12" s="182">
        <f>ROUND((C12/$C$28)*100,1)</f>
        <v>0.5</v>
      </c>
    </row>
    <row r="13" spans="1:4" x14ac:dyDescent="0.2">
      <c r="A13">
        <v>1400</v>
      </c>
      <c r="B13" t="s">
        <v>705</v>
      </c>
      <c r="C13" s="179">
        <f>ROUND('DOE25'!L201+'DOE25'!L219+'DOE25'!L237+'DOE25'!L280+'DOE25'!L299+'DOE25'!L318,0)</f>
        <v>1068636</v>
      </c>
      <c r="D13" s="182">
        <f>ROUND((C13/$C$28)*100,1)</f>
        <v>2</v>
      </c>
    </row>
    <row r="14" spans="1:4" x14ac:dyDescent="0.2">
      <c r="D14" s="182"/>
    </row>
    <row r="15" spans="1:4" x14ac:dyDescent="0.2">
      <c r="A15">
        <v>2100</v>
      </c>
      <c r="B15" t="s">
        <v>706</v>
      </c>
      <c r="C15" s="179">
        <f>ROUND('DOE25'!L203+'DOE25'!L221+'DOE25'!L239+'DOE25'!L282+'DOE25'!L301+'DOE25'!L320,0)</f>
        <v>4208199</v>
      </c>
      <c r="D15" s="182">
        <f t="shared" ref="D15:D27" si="0">ROUND((C15/$C$28)*100,1)</f>
        <v>8</v>
      </c>
    </row>
    <row r="16" spans="1:4" x14ac:dyDescent="0.2">
      <c r="A16">
        <v>2200</v>
      </c>
      <c r="B16" t="s">
        <v>707</v>
      </c>
      <c r="C16" s="179">
        <f>ROUND('DOE25'!L204+'DOE25'!L222+'DOE25'!L240+'DOE25'!L283+'DOE25'!L302+'DOE25'!L321,0)</f>
        <v>2696827</v>
      </c>
      <c r="D16" s="182">
        <f t="shared" si="0"/>
        <v>5.0999999999999996</v>
      </c>
    </row>
    <row r="17" spans="1:4" x14ac:dyDescent="0.2">
      <c r="A17" s="183" t="s">
        <v>723</v>
      </c>
      <c r="B17" t="s">
        <v>738</v>
      </c>
      <c r="C17" s="179">
        <f>ROUND('DOE25'!L205+'DOE25'!L210+'DOE25'!L223+'DOE25'!L228+'DOE25'!L241+'DOE25'!L246+'DOE25'!L284+'DOE25'!L289+'DOE25'!L303+'DOE25'!L308+'DOE25'!L322+'DOE25'!L327,0)</f>
        <v>2327592</v>
      </c>
      <c r="D17" s="182">
        <f t="shared" si="0"/>
        <v>4.4000000000000004</v>
      </c>
    </row>
    <row r="18" spans="1:4" x14ac:dyDescent="0.2">
      <c r="A18">
        <v>2400</v>
      </c>
      <c r="B18" t="s">
        <v>711</v>
      </c>
      <c r="C18" s="179">
        <f>ROUND('DOE25'!L206+'DOE25'!L224+'DOE25'!L242+'DOE25'!L285+'DOE25'!L304+'DOE25'!L323,0)</f>
        <v>2292689</v>
      </c>
      <c r="D18" s="182">
        <f t="shared" si="0"/>
        <v>4.4000000000000004</v>
      </c>
    </row>
    <row r="19" spans="1:4" x14ac:dyDescent="0.2">
      <c r="A19">
        <v>2500</v>
      </c>
      <c r="B19" t="s">
        <v>708</v>
      </c>
      <c r="C19" s="179">
        <f>ROUND('DOE25'!L207+'DOE25'!L225+'DOE25'!L243+'DOE25'!L286+'DOE25'!L305+'DOE25'!L324,0)</f>
        <v>687552</v>
      </c>
      <c r="D19" s="182">
        <f t="shared" si="0"/>
        <v>1.3</v>
      </c>
    </row>
    <row r="20" spans="1:4" x14ac:dyDescent="0.2">
      <c r="A20">
        <v>2600</v>
      </c>
      <c r="B20" t="s">
        <v>709</v>
      </c>
      <c r="C20" s="179">
        <f>ROUND('DOE25'!L208+'DOE25'!L226+'DOE25'!L244+'DOE25'!L287+'DOE25'!L306+'DOE25'!L325,0)</f>
        <v>4719765</v>
      </c>
      <c r="D20" s="182">
        <f t="shared" si="0"/>
        <v>9</v>
      </c>
    </row>
    <row r="21" spans="1:4" x14ac:dyDescent="0.2">
      <c r="A21">
        <v>2700</v>
      </c>
      <c r="B21" t="s">
        <v>710</v>
      </c>
      <c r="C21" s="179">
        <f>ROUND('DOE25'!L209+'DOE25'!L227+'DOE25'!L245+'DOE25'!L288+'DOE25'!L307+'DOE25'!L326,0)</f>
        <v>2746243</v>
      </c>
      <c r="D21" s="182">
        <f t="shared" si="0"/>
        <v>5.2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1757078</v>
      </c>
      <c r="D25" s="182">
        <f t="shared" si="0"/>
        <v>3.4</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238826.58000000002</v>
      </c>
      <c r="D27" s="182">
        <f t="shared" si="0"/>
        <v>0.5</v>
      </c>
    </row>
    <row r="28" spans="1:4" x14ac:dyDescent="0.2">
      <c r="B28" s="187" t="s">
        <v>719</v>
      </c>
      <c r="C28" s="180">
        <f>SUM(C10:C27)</f>
        <v>52426066.579999998</v>
      </c>
      <c r="D28" s="184">
        <f>ROUND(SUM(D10:D27),0)</f>
        <v>100</v>
      </c>
    </row>
    <row r="29" spans="1:4" x14ac:dyDescent="0.2">
      <c r="A29">
        <v>4000</v>
      </c>
      <c r="B29" t="s">
        <v>724</v>
      </c>
      <c r="C29" s="179">
        <f>ROUND('DOE25'!L256+'DOE25'!L337+'DOE25'!L375+'DOE25'!L376+'DOE25'!L377+'DOE25'!L378+'DOE25'!L379+'DOE25'!L380+'DOE25'!L381,0)</f>
        <v>6229935</v>
      </c>
    </row>
    <row r="30" spans="1:4" x14ac:dyDescent="0.2">
      <c r="B30" s="187" t="s">
        <v>725</v>
      </c>
      <c r="C30" s="180">
        <f>SUM(C28:C29)</f>
        <v>58656001.579999998</v>
      </c>
    </row>
    <row r="31" spans="1:4" x14ac:dyDescent="0.2">
      <c r="B31" s="33"/>
      <c r="C31" s="180"/>
    </row>
    <row r="32" spans="1:4" x14ac:dyDescent="0.2">
      <c r="A32">
        <v>5100</v>
      </c>
      <c r="B32" s="33" t="s">
        <v>726</v>
      </c>
      <c r="C32" s="180">
        <f>ROUND('DOE25'!L261+'DOE25'!L342,0)</f>
        <v>3405000</v>
      </c>
    </row>
    <row r="34" spans="1:4" x14ac:dyDescent="0.2">
      <c r="A34" s="187" t="s">
        <v>94</v>
      </c>
      <c r="B34" s="188" t="s">
        <v>1589</v>
      </c>
      <c r="C34" s="181" t="s">
        <v>720</v>
      </c>
      <c r="D34" s="181" t="s">
        <v>721</v>
      </c>
    </row>
    <row r="35" spans="1:4" x14ac:dyDescent="0.2">
      <c r="A35">
        <v>1100</v>
      </c>
      <c r="B35" s="185" t="s">
        <v>727</v>
      </c>
      <c r="C35" s="179">
        <f>ROUND('DOE25'!F60+'DOE25'!G60+'DOE25'!H60+'DOE25'!I60+'DOE25'!J60,0)</f>
        <v>37825825</v>
      </c>
      <c r="D35" s="182">
        <f t="shared" ref="D35:D40" si="1">ROUND((C35/$C$41)*100,1)</f>
        <v>71.5</v>
      </c>
    </row>
    <row r="36" spans="1:4" x14ac:dyDescent="0.2">
      <c r="B36" s="185" t="s">
        <v>739</v>
      </c>
      <c r="C36" s="179">
        <f>SUM('DOE25'!F112:J112)-SUM('DOE25'!G97:G110)+('DOE25'!F175+'DOE25'!F176+'DOE25'!I175+'DOE25'!I176)-C35</f>
        <v>972692.10000000149</v>
      </c>
      <c r="D36" s="182">
        <f t="shared" si="1"/>
        <v>1.8</v>
      </c>
    </row>
    <row r="37" spans="1:4" x14ac:dyDescent="0.2">
      <c r="A37" s="183" t="s">
        <v>835</v>
      </c>
      <c r="B37" s="185" t="s">
        <v>728</v>
      </c>
      <c r="C37" s="179">
        <f>ROUND('DOE25'!F117+'DOE25'!F118,0)</f>
        <v>11784595</v>
      </c>
      <c r="D37" s="182">
        <f t="shared" si="1"/>
        <v>22.3</v>
      </c>
    </row>
    <row r="38" spans="1:4" x14ac:dyDescent="0.2">
      <c r="A38" s="183" t="s">
        <v>734</v>
      </c>
      <c r="B38" s="185" t="s">
        <v>729</v>
      </c>
      <c r="C38" s="179">
        <f>ROUND(SUM('DOE25'!F140:J140)-SUM('DOE25'!F117:F119),0)</f>
        <v>1439190</v>
      </c>
      <c r="D38" s="182">
        <f t="shared" si="1"/>
        <v>2.7</v>
      </c>
    </row>
    <row r="39" spans="1:4" x14ac:dyDescent="0.2">
      <c r="A39">
        <v>4000</v>
      </c>
      <c r="B39" s="185" t="s">
        <v>730</v>
      </c>
      <c r="C39" s="179">
        <f>ROUND('DOE25'!F170+'DOE25'!G170+'DOE25'!H170+'DOE25'!I170,0)</f>
        <v>873271</v>
      </c>
      <c r="D39" s="182">
        <f t="shared" si="1"/>
        <v>1.7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52895573.100000001</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Windham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2020-11-20T13:12:21Z</cp:lastPrinted>
  <dcterms:created xsi:type="dcterms:W3CDTF">1997-12-04T19:04:30Z</dcterms:created>
  <dcterms:modified xsi:type="dcterms:W3CDTF">2020-12-14T13:32:20Z</dcterms:modified>
</cp:coreProperties>
</file>