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37" i="14" l="1"/>
  <c r="F31" i="13"/>
  <c r="F15" i="13"/>
  <c r="I234" i="1"/>
  <c r="F473" i="1"/>
  <c r="F9" i="1"/>
  <c r="G30" i="1" l="1"/>
  <c r="K534" i="1" l="1"/>
  <c r="J524" i="1"/>
  <c r="I524" i="1"/>
  <c r="H524" i="1"/>
  <c r="G524" i="1"/>
  <c r="F524" i="1"/>
  <c r="C10" i="12"/>
  <c r="C12" i="12"/>
  <c r="C11" i="12"/>
  <c r="C39" i="12"/>
  <c r="C21" i="12"/>
  <c r="G234" i="1"/>
  <c r="G237" i="1"/>
  <c r="G240" i="1"/>
  <c r="C20" i="12"/>
  <c r="C19" i="12"/>
  <c r="G534" i="1"/>
  <c r="K237" i="1"/>
  <c r="H244" i="1"/>
  <c r="H29" i="1"/>
  <c r="F29" i="1"/>
  <c r="J605" i="1" l="1"/>
  <c r="J244" i="1"/>
  <c r="J240" i="1"/>
  <c r="I240" i="1"/>
  <c r="I239" i="1"/>
  <c r="I237" i="1"/>
  <c r="H245" i="1"/>
  <c r="H241" i="1"/>
  <c r="H240" i="1"/>
  <c r="H239" i="1"/>
  <c r="F240" i="1"/>
  <c r="F239" i="1"/>
  <c r="B20" i="12"/>
  <c r="B21" i="12"/>
  <c r="B19" i="12"/>
  <c r="B12" i="12"/>
  <c r="B11" i="12"/>
  <c r="B10" i="12"/>
  <c r="F237" i="1"/>
  <c r="F534" i="1" l="1"/>
  <c r="F529" i="1"/>
  <c r="F118" i="1"/>
  <c r="F57" i="1"/>
  <c r="F110" i="1"/>
  <c r="K322" i="1"/>
  <c r="H316" i="1"/>
  <c r="H157" i="1"/>
  <c r="H159" i="1"/>
  <c r="H155" i="1"/>
  <c r="H154" i="1"/>
  <c r="H361" i="1"/>
  <c r="H368" i="1"/>
  <c r="I361" i="1"/>
  <c r="F361" i="1"/>
  <c r="G97"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C125" i="2" s="1"/>
  <c r="G5" i="13"/>
  <c r="H5" i="13"/>
  <c r="L198" i="1"/>
  <c r="L199" i="1"/>
  <c r="L200" i="1"/>
  <c r="C12" i="10" s="1"/>
  <c r="L201" i="1"/>
  <c r="L216" i="1"/>
  <c r="L217" i="1"/>
  <c r="L218" i="1"/>
  <c r="L219" i="1"/>
  <c r="L234" i="1"/>
  <c r="L235" i="1"/>
  <c r="C11" i="10" s="1"/>
  <c r="L236" i="1"/>
  <c r="L237" i="1"/>
  <c r="C112" i="2" s="1"/>
  <c r="G6" i="13"/>
  <c r="H6" i="13"/>
  <c r="L203" i="1"/>
  <c r="D6" i="13" s="1"/>
  <c r="C6" i="13" s="1"/>
  <c r="L221" i="1"/>
  <c r="L239" i="1"/>
  <c r="G7" i="13"/>
  <c r="H7" i="13"/>
  <c r="L204" i="1"/>
  <c r="L222" i="1"/>
  <c r="L240" i="1"/>
  <c r="C119" i="2" s="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36" i="1"/>
  <c r="I121" i="1"/>
  <c r="I136" i="1"/>
  <c r="J121" i="1"/>
  <c r="J140" i="1" s="1"/>
  <c r="J136" i="1"/>
  <c r="F147" i="1"/>
  <c r="F170" i="1" s="1"/>
  <c r="G147" i="1"/>
  <c r="D85" i="2" s="1"/>
  <c r="H147" i="1"/>
  <c r="H170" i="1"/>
  <c r="I147" i="1"/>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D115" i="2"/>
  <c r="F115" i="2"/>
  <c r="G115" i="2"/>
  <c r="E119" i="2"/>
  <c r="E120" i="2"/>
  <c r="E121" i="2"/>
  <c r="E123" i="2"/>
  <c r="E124"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F258" i="1" s="1"/>
  <c r="G248" i="1"/>
  <c r="H248" i="1"/>
  <c r="I248" i="1"/>
  <c r="J248" i="1"/>
  <c r="K248" i="1"/>
  <c r="F257" i="1"/>
  <c r="G257" i="1"/>
  <c r="H257" i="1"/>
  <c r="I257" i="1"/>
  <c r="J257" i="1"/>
  <c r="K257" i="1"/>
  <c r="F291" i="1"/>
  <c r="G291" i="1"/>
  <c r="H291" i="1"/>
  <c r="I291" i="1"/>
  <c r="F310" i="1"/>
  <c r="G310" i="1"/>
  <c r="H310" i="1"/>
  <c r="I310" i="1"/>
  <c r="F329" i="1"/>
  <c r="G329" i="1"/>
  <c r="G339" i="1" s="1"/>
  <c r="G353" i="1" s="1"/>
  <c r="H329" i="1"/>
  <c r="I329" i="1"/>
  <c r="F338" i="1"/>
  <c r="G338" i="1"/>
  <c r="H338" i="1"/>
  <c r="I338" i="1"/>
  <c r="J338" i="1"/>
  <c r="K338" i="1"/>
  <c r="K339"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1" i="1"/>
  <c r="G644" i="1"/>
  <c r="G645" i="1"/>
  <c r="G651" i="1"/>
  <c r="G652" i="1"/>
  <c r="J652" i="1" s="1"/>
  <c r="G653" i="1"/>
  <c r="H653" i="1"/>
  <c r="G654" i="1"/>
  <c r="H654" i="1"/>
  <c r="G655" i="1"/>
  <c r="H655" i="1"/>
  <c r="H656" i="1"/>
  <c r="J656" i="1" s="1"/>
  <c r="I170" i="1"/>
  <c r="H140" i="1"/>
  <c r="L257" i="1" l="1"/>
  <c r="C13" i="10"/>
  <c r="C110" i="2"/>
  <c r="J258" i="1"/>
  <c r="J272" i="1" s="1"/>
  <c r="C20" i="10"/>
  <c r="A40" i="12"/>
  <c r="G646" i="1"/>
  <c r="G409" i="1"/>
  <c r="H646" i="1" s="1"/>
  <c r="G477" i="1"/>
  <c r="H112" i="1"/>
  <c r="L402" i="1"/>
  <c r="C139" i="2" s="1"/>
  <c r="H462" i="1"/>
  <c r="H642" i="1" s="1"/>
  <c r="J642" i="1" s="1"/>
  <c r="H477" i="1"/>
  <c r="H625" i="1" s="1"/>
  <c r="J625" i="1" s="1"/>
  <c r="K353" i="1"/>
  <c r="C91" i="2"/>
  <c r="D50" i="2"/>
  <c r="G553" i="1"/>
  <c r="F339" i="1"/>
  <c r="F353" i="1" s="1"/>
  <c r="L561" i="1"/>
  <c r="G462" i="1"/>
  <c r="H641" i="1" s="1"/>
  <c r="J641" i="1" s="1"/>
  <c r="E103" i="2"/>
  <c r="D18" i="2"/>
  <c r="H553" i="1"/>
  <c r="L310" i="1"/>
  <c r="F462" i="1"/>
  <c r="H640" i="1" s="1"/>
  <c r="J640" i="1" s="1"/>
  <c r="K606" i="1"/>
  <c r="G649" i="1" s="1"/>
  <c r="H258" i="1"/>
  <c r="H272" i="1" s="1"/>
  <c r="I52" i="1"/>
  <c r="H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L352" i="1"/>
  <c r="F130" i="2"/>
  <c r="F144" i="2" s="1"/>
  <c r="F145" i="2" s="1"/>
  <c r="G170" i="1"/>
  <c r="B12" i="16" s="1"/>
  <c r="J618" i="1"/>
  <c r="I25" i="13"/>
  <c r="K551"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D103" i="2"/>
  <c r="I140" i="1"/>
  <c r="A22" i="12"/>
  <c r="J653" i="1"/>
  <c r="G572" i="1"/>
  <c r="I435" i="1"/>
  <c r="G435" i="1"/>
  <c r="I664" i="1"/>
  <c r="H661" i="1" l="1"/>
  <c r="H665" i="1" s="1"/>
  <c r="H668" i="1" s="1"/>
  <c r="F194" i="1"/>
  <c r="C81" i="2"/>
  <c r="C141" i="2"/>
  <c r="H649" i="1"/>
  <c r="E145" i="2"/>
  <c r="G36" i="14"/>
  <c r="H36" i="14" s="1"/>
  <c r="I36" i="14" s="1"/>
  <c r="E51" i="2"/>
  <c r="D51"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H24" i="14"/>
  <c r="I24" i="14"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 r="L524" i="1"/>
  <c r="L525" i="1" s="1"/>
  <c r="L546" i="1" s="1"/>
  <c r="I525" i="1"/>
  <c r="I546" i="1"/>
  <c r="F552" i="1" l="1"/>
  <c r="F553" i="1" s="1"/>
  <c r="K552" i="1" l="1"/>
  <c r="K553" i="1"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<sst xmlns="http://schemas.openxmlformats.org/spreadsheetml/2006/main" count="5546" uniqueCount="1645">
  <si>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</si>
  <si>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</si>
  <si>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</si>
  <si>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</si>
  <si>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</si>
  <si>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</si>
  <si>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</si>
  <si>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</si>
  <si>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</si>
  <si>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</si>
  <si>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</si>
  <si>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</si>
  <si>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</si>
  <si>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</si>
  <si>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</si>
  <si>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</si>
  <si>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</si>
  <si>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</si>
  <si>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</si>
  <si>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</si>
  <si>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</si>
  <si>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</si>
  <si>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</si>
  <si>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</si>
  <si>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</si>
  <si>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</si>
  <si>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</si>
  <si>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</si>
  <si>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</si>
  <si>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</si>
  <si>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</si>
  <si>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</si>
  <si>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</si>
  <si>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</si>
  <si>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</si>
  <si>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</si>
  <si>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</si>
  <si>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</si>
  <si>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</si>
  <si>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</si>
  <si>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</si>
  <si>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</si>
  <si>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</si>
  <si>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</si>
  <si>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</si>
  <si>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</si>
  <si>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</si>
  <si>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</si>
  <si>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</si>
  <si>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</si>
  <si>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</si>
  <si>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</si>
  <si>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</si>
  <si>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</si>
  <si>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</si>
  <si>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</si>
  <si>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</si>
  <si>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</si>
  <si>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</si>
  <si>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</si>
  <si>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</si>
  <si>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</si>
  <si>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</si>
  <si>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</si>
  <si>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</si>
  <si>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</si>
  <si>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</si>
  <si>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</si>
  <si>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</si>
  <si>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</si>
  <si>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</si>
  <si>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</si>
  <si>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</si>
  <si>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</si>
  <si>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</si>
  <si>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</si>
  <si>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</si>
  <si>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</si>
  <si>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</si>
  <si>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</si>
  <si>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</si>
  <si>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</si>
  <si>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</si>
  <si>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</si>
  <si>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</si>
  <si>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</si>
  <si>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</si>
  <si>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</si>
  <si>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</si>
  <si>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</si>
  <si>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</si>
  <si>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</si>
  <si>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</si>
  <si>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</si>
  <si>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</si>
  <si>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</si>
  <si>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</si>
  <si>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</si>
  <si>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</si>
  <si>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</si>
  <si>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</si>
  <si>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</si>
  <si>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</si>
  <si>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</si>
  <si>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</si>
  <si>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</si>
  <si>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</si>
  <si>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</si>
  <si>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</si>
  <si>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</si>
  <si>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</si>
  <si>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</si>
  <si>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</si>
  <si>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</si>
  <si>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</si>
  <si>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</si>
  <si>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</si>
  <si>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</si>
  <si>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</si>
  <si>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</si>
  <si>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</si>
  <si>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</si>
  <si>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</si>
  <si>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</si>
  <si>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</si>
  <si>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</si>
  <si>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</si>
  <si>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</si>
  <si>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</si>
  <si>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</si>
  <si>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</si>
  <si>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</si>
  <si>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</si>
  <si>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</si>
  <si>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</si>
  <si>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</si>
  <si>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</si>
  <si>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</si>
  <si>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</si>
  <si>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</si>
  <si>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</si>
  <si>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</si>
  <si>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</si>
  <si>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</si>
  <si>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</si>
  <si>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</si>
  <si>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</si>
  <si>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</si>
  <si>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</si>
  <si>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</si>
  <si>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</si>
  <si>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</si>
  <si>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</si>
  <si>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</si>
  <si>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</si>
  <si>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</si>
  <si>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</si>
  <si>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</si>
  <si>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</si>
  <si>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</si>
  <si>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</si>
  <si>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</si>
  <si>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</si>
  <si>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</si>
  <si>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</si>
  <si>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</si>
  <si>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</si>
  <si>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</si>
  <si>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</si>
  <si>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</si>
  <si>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</si>
  <si>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</si>
  <si>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</si>
  <si>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</si>
  <si>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</si>
  <si>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</si>
  <si>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</si>
  <si>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</si>
  <si>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</si>
  <si>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</si>
  <si>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</si>
  <si>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</si>
  <si>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</si>
  <si>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</si>
  <si>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</si>
  <si>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</si>
  <si>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</si>
  <si>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</si>
  <si>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</si>
  <si>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</si>
  <si>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</si>
  <si>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</si>
  <si>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</si>
  <si>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</si>
  <si>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</si>
  <si>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</si>
  <si>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</si>
  <si>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</si>
  <si>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</si>
  <si>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</si>
  <si>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</si>
  <si>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</si>
  <si>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</si>
  <si>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</si>
  <si>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</si>
  <si>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</si>
  <si>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</si>
  <si>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</si>
  <si>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</si>
  <si>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</si>
  <si>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</si>
  <si>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</si>
  <si>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</si>
  <si>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</si>
  <si>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</si>
  <si>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</si>
  <si>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</si>
  <si>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</si>
  <si>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</si>
  <si>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</si>
  <si>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</si>
  <si>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</si>
  <si>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</si>
  <si>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</si>
  <si>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</si>
  <si>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</si>
  <si>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</si>
  <si>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</si>
  <si>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</si>
  <si>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</si>
  <si>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</si>
  <si>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</si>
  <si>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</si>
  <si>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</si>
  <si>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</si>
  <si>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</si>
  <si>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</si>
  <si>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</si>
  <si>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</si>
  <si>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</si>
  <si>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</si>
  <si>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</si>
  <si>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</si>
  <si>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</si>
  <si>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</si>
  <si>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</si>
  <si>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</si>
  <si>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</si>
  <si>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</si>
  <si>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</si>
  <si>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</si>
  <si>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</si>
  <si>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</si>
  <si>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</si>
  <si>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</si>
  <si>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</si>
  <si>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</si>
  <si>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</si>
  <si>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</si>
  <si>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</si>
  <si>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</si>
  <si>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</si>
  <si>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</si>
  <si>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</si>
  <si>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</si>
  <si>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</si>
  <si>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</si>
  <si>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</si>
  <si>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</si>
  <si>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</si>
  <si>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</si>
  <si>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</si>
  <si>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</si>
  <si>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</si>
  <si>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</si>
  <si>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</si>
  <si>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</si>
  <si>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</si>
  <si>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</si>
  <si>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</si>
  <si>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</si>
  <si>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</si>
  <si>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</si>
  <si>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</si>
  <si>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</si>
  <si>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</si>
  <si>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</si>
  <si>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</si>
  <si>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</si>
  <si>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</si>
  <si>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</si>
  <si>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</si>
  <si>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</si>
  <si>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</si>
  <si>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</si>
  <si>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</si>
  <si>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</si>
  <si>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</si>
  <si>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</si>
  <si>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</si>
  <si>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</si>
  <si>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</si>
  <si>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</si>
  <si>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</si>
  <si>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</si>
  <si>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</si>
  <si>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</si>
  <si>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</si>
  <si>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</si>
  <si>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</si>
  <si>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</si>
  <si>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</si>
  <si>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</si>
  <si>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</si>
  <si>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</si>
  <si>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</si>
  <si>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</si>
  <si>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</si>
  <si>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</si>
  <si>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</si>
  <si>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</si>
  <si>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</si>
  <si>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</si>
  <si>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</si>
  <si>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</si>
  <si>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</si>
  <si>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</si>
  <si>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</si>
  <si>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</si>
  <si>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</si>
  <si>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</si>
  <si>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</si>
  <si>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</si>
  <si>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</si>
  <si>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</si>
  <si>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</si>
  <si>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</si>
  <si>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</si>
  <si>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</si>
  <si>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</si>
  <si>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</si>
  <si>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</si>
  <si>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</si>
  <si>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</si>
  <si>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</si>
  <si>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</si>
  <si>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</si>
  <si>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</si>
  <si>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</si>
  <si>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</si>
  <si>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</si>
  <si>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</si>
  <si>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</si>
  <si>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</si>
  <si>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</si>
  <si>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</si>
  <si>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</si>
  <si>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</si>
  <si>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</si>
  <si>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</si>
  <si>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</si>
  <si>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</si>
  <si>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</si>
  <si>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</si>
  <si>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</si>
  <si>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</si>
  <si>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</si>
  <si>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</si>
  <si>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</si>
  <si>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</si>
  <si>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</si>
  <si>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</si>
  <si>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</si>
  <si>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</si>
  <si>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</si>
  <si>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</si>
  <si>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</si>
  <si>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</si>
  <si>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</si>
  <si>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</si>
  <si>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</si>
  <si>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</si>
  <si>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</si>
  <si>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</si>
  <si>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</si>
  <si>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</si>
  <si>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</si>
  <si>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</si>
  <si>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</si>
  <si>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</si>
  <si>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</si>
  <si>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</si>
  <si>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</si>
  <si>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</si>
  <si>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</si>
  <si>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</si>
  <si>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</si>
  <si>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</si>
  <si>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</si>
  <si>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</si>
  <si>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</si>
  <si>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</si>
  <si>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</si>
  <si>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</si>
  <si>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</si>
  <si>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</si>
  <si>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</si>
  <si>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</si>
  <si>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</si>
  <si>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</si>
  <si>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</si>
  <si>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</si>
  <si>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</si>
  <si>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</si>
  <si>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</si>
  <si>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</si>
  <si>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</si>
  <si>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</si>
  <si>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</si>
  <si>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</si>
  <si>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</si>
  <si>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</si>
  <si>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</si>
  <si>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</si>
  <si>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</si>
  <si>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</si>
  <si>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</si>
  <si>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</si>
  <si>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</si>
  <si>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</si>
  <si>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</si>
  <si>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</si>
  <si>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</si>
  <si>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</si>
  <si>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</si>
  <si>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</si>
  <si>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</si>
  <si>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</si>
  <si>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</si>
  <si>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</si>
  <si>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</si>
  <si>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</si>
  <si>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</si>
  <si>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</si>
  <si>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</si>
  <si>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</si>
  <si>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</si>
  <si>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</si>
  <si>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</si>
  <si>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</si>
  <si>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</si>
  <si>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</si>
  <si>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</si>
  <si>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</si>
  <si>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</si>
  <si>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</si>
  <si>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</si>
  <si>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</si>
  <si>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</si>
  <si>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</si>
  <si>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</si>
  <si>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</si>
  <si>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</si>
  <si>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</si>
  <si>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</si>
  <si>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</si>
  <si>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</si>
  <si>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</si>
  <si>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</si>
  <si>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</si>
  <si>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</si>
  <si>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</si>
  <si>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</si>
  <si>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</si>
  <si>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</si>
  <si>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</si>
  <si>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</si>
  <si>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</si>
  <si>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</si>
  <si>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</si>
  <si>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</si>
  <si>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</si>
  <si>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</si>
  <si>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</si>
  <si>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</si>
  <si>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</si>
  <si>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</si>
  <si>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</si>
  <si>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</si>
  <si>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</si>
  <si>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</si>
  <si>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</si>
  <si>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</si>
  <si>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</si>
  <si>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</si>
  <si>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</si>
  <si>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</si>
  <si>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</si>
  <si>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</si>
  <si>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</si>
  <si>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</si>
  <si>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</si>
  <si>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</si>
  <si>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</si>
  <si>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</si>
  <si>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</si>
  <si>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</si>
  <si>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</si>
  <si>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</si>
  <si>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</si>
  <si>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</si>
  <si>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</si>
  <si>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</si>
  <si>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</si>
  <si>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</si>
  <si>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</si>
  <si>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</si>
  <si>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</si>
  <si>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</si>
  <si>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</si>
  <si>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</si>
  <si>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</si>
  <si>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</si>
  <si>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</si>
  <si>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</si>
  <si>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</si>
  <si>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</si>
  <si>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</si>
  <si>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</si>
  <si>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</si>
  <si>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</si>
  <si>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</si>
  <si>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</si>
  <si>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</si>
  <si>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</si>
  <si>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</si>
  <si>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</si>
  <si>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</si>
  <si>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</si>
  <si>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</si>
  <si>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</si>
  <si>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</si>
  <si>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</si>
  <si>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</si>
  <si>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</si>
  <si>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</si>
  <si>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</si>
  <si>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</si>
  <si>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</si>
  <si>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</si>
  <si>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</si>
  <si>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</si>
  <si>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</si>
  <si>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</si>
  <si>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</si>
  <si>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</si>
  <si>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</si>
  <si>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</si>
  <si>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</si>
  <si>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</si>
  <si>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</si>
  <si>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</si>
  <si>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</si>
  <si>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</si>
  <si>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</si>
  <si>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</si>
  <si>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</si>
  <si>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</si>
  <si>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</si>
  <si>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</si>
  <si>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</si>
  <si>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</si>
  <si>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</si>
  <si>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</si>
  <si>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</si>
  <si>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</si>
  <si>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</si>
  <si>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</si>
  <si>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</si>
  <si>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</si>
  <si>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</si>
  <si>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</si>
  <si>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</si>
  <si>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</si>
  <si>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</si>
  <si>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</si>
  <si>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</si>
  <si>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</si>
  <si>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</si>
  <si>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</si>
  <si>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</si>
  <si>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</si>
  <si>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</si>
  <si>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</si>
  <si>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</si>
  <si>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</si>
  <si>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</si>
  <si>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</si>
  <si>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</si>
  <si>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</si>
  <si>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</si>
  <si>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</si>
  <si>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</si>
  <si>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</si>
  <si>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</si>
  <si>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</si>
  <si>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</si>
  <si>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</si>
  <si>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</si>
  <si>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</si>
  <si>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</si>
  <si>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</si>
  <si>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</si>
  <si>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</si>
  <si>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</si>
  <si>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</si>
  <si>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</si>
  <si>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</si>
  <si>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</si>
  <si>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</si>
  <si>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</si>
  <si>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</si>
  <si>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</si>
  <si>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</si>
  <si>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</si>
  <si>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</si>
  <si>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</si>
  <si>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</si>
  <si>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</si>
  <si>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</si>
  <si>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</si>
  <si>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</si>
  <si>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</si>
  <si>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</si>
  <si>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</si>
  <si>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</si>
  <si>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</si>
  <si>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</si>
  <si>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</si>
  <si>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</si>
  <si>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</si>
  <si>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</si>
  <si>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</si>
  <si>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</si>
  <si>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</si>
  <si>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</si>
  <si>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</si>
  <si>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</si>
  <si>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</si>
  <si>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</si>
  <si>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</si>
  <si>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</si>
  <si>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</si>
  <si>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</si>
  <si>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</si>
  <si>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</si>
  <si>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</si>
  <si>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</si>
  <si>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</si>
  <si>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</si>
  <si>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</si>
  <si>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</si>
  <si>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</si>
  <si>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</si>
  <si>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</si>
  <si>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</si>
  <si>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</si>
  <si>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</si>
  <si>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</si>
  <si>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</si>
  <si>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</si>
  <si>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</si>
  <si>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</si>
  <si>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</si>
  <si>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</si>
  <si>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</si>
  <si>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</si>
  <si>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</si>
  <si>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</si>
  <si>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</si>
  <si>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</si>
  <si>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</si>
  <si>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</si>
  <si>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</si>
  <si>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</si>
  <si>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</si>
  <si>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</si>
  <si>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</si>
  <si>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</si>
  <si>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</si>
  <si>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</si>
  <si>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</si>
  <si>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</si>
  <si>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</si>
  <si>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</si>
  <si>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</si>
  <si>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</si>
  <si>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</si>
  <si>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</si>
  <si>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</si>
  <si>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</si>
  <si>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</si>
  <si>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</si>
  <si>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</si>
  <si>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</si>
  <si>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</si>
  <si>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</si>
  <si>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</si>
  <si>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</si>
  <si>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</si>
  <si>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</si>
  <si>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</si>
  <si>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</si>
  <si>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</si>
  <si>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</si>
  <si>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</si>
  <si>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</si>
  <si>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</si>
  <si>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</si>
  <si>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</si>
  <si>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</si>
  <si>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</si>
  <si>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</si>
  <si>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</si>
  <si>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</si>
  <si>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</si>
  <si>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</si>
  <si>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</si>
  <si>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</si>
  <si>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</si>
  <si>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</si>
  <si>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</si>
  <si>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</si>
  <si>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</si>
  <si>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</si>
  <si>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</si>
  <si>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</si>
  <si>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</si>
  <si>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</si>
  <si>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</si>
  <si>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</si>
  <si>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</si>
  <si>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</si>
  <si>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</si>
  <si>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</si>
  <si>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</si>
  <si>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</si>
  <si>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</si>
  <si>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</si>
  <si>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</si>
  <si>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</si>
  <si>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</si>
  <si>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</si>
  <si>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</si>
  <si>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</si>
  <si>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</si>
  <si>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</si>
  <si>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</si>
  <si>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</si>
  <si>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</si>
  <si>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</si>
  <si>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</si>
  <si>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</si>
  <si>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</si>
  <si>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</si>
  <si>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</si>
  <si>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</si>
  <si>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</si>
  <si>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</si>
  <si>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</si>
  <si>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</si>
  <si>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</si>
  <si>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</si>
  <si>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</si>
  <si>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</si>
  <si>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</si>
  <si>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</si>
  <si>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</si>
  <si>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</si>
  <si>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</si>
  <si>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</si>
  <si>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</si>
  <si>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</si>
  <si>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</si>
  <si>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</si>
  <si>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</si>
  <si>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</si>
  <si>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</si>
  <si>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</si>
  <si>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</si>
  <si>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</si>
  <si>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</si>
  <si>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</si>
  <si>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</si>
  <si>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</si>
  <si>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</si>
  <si>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</si>
  <si>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</si>
  <si>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</si>
  <si>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</si>
  <si>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</si>
  <si>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</si>
  <si>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</si>
  <si>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</si>
  <si>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</si>
  <si>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</si>
  <si>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</si>
  <si>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</si>
  <si>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</si>
  <si>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</si>
  <si>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</si>
  <si>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</si>
  <si>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</si>
  <si>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</si>
  <si>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</si>
  <si>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</si>
  <si>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</si>
  <si>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</si>
  <si>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</si>
  <si>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</si>
  <si>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</si>
  <si>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</si>
  <si>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</si>
  <si>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</si>
  <si>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</si>
  <si>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</si>
  <si>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</si>
  <si>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</si>
  <si>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</si>
  <si>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</si>
  <si>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</si>
  <si>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</si>
  <si>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</si>
  <si>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</si>
  <si>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</si>
  <si>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</si>
  <si>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</si>
  <si>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</si>
  <si>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</si>
  <si>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</si>
  <si>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</si>
  <si>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</si>
  <si>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</si>
  <si>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</si>
  <si>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</si>
  <si>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</si>
  <si>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</si>
  <si>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</si>
  <si>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</si>
  <si>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</si>
  <si>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</si>
  <si>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</si>
  <si>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</si>
  <si>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</si>
  <si>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</si>
  <si>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</si>
  <si>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</si>
  <si>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</si>
  <si>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</si>
  <si>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</si>
  <si>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</si>
  <si>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</si>
  <si>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</si>
  <si>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</si>
  <si>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</si>
  <si>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</si>
  <si>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</si>
  <si>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</si>
  <si>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</si>
  <si>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</si>
  <si>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</si>
  <si>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</si>
  <si>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</si>
  <si>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</si>
  <si>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</si>
  <si>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</si>
  <si>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</si>
  <si>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</si>
  <si>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</si>
  <si>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</si>
  <si>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</si>
  <si>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</si>
  <si>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</si>
  <si>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</si>
  <si>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</si>
  <si>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</si>
  <si>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</si>
  <si>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</si>
  <si>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</si>
  <si>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</si>
  <si>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</si>
  <si>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</si>
  <si>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</si>
  <si>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</si>
  <si>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</si>
  <si>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</si>
  <si>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</si>
  <si>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</si>
  <si>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</si>
  <si>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</si>
  <si>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</si>
  <si>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</si>
  <si>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</si>
  <si>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</si>
  <si>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</si>
  <si>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</si>
  <si>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</si>
  <si>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</si>
  <si>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</si>
  <si>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</si>
  <si>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</si>
  <si>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</si>
  <si>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</si>
  <si>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</si>
  <si>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</si>
  <si>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</si>
  <si>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</si>
  <si>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</si>
  <si>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</si>
  <si>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</si>
  <si>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</si>
  <si>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</si>
  <si>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</si>
  <si>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</si>
  <si>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</si>
  <si>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</si>
  <si>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</si>
  <si>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</si>
  <si>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</si>
  <si>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</si>
  <si>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</si>
  <si>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</si>
  <si>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</si>
  <si>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</si>
  <si>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</si>
  <si>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</si>
  <si>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</si>
  <si>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</si>
  <si>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</si>
  <si>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</si>
  <si>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</si>
  <si>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</si>
  <si>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</si>
  <si>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</si>
  <si>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</si>
  <si>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</si>
  <si>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</si>
  <si>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</si>
  <si>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</si>
  <si>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</si>
  <si>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</si>
  <si>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</si>
  <si>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</si>
  <si>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</si>
  <si>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</si>
  <si>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</si>
  <si>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</si>
  <si>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</si>
  <si>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</si>
  <si>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</si>
  <si>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</si>
  <si>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</si>
  <si>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</si>
  <si>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</si>
  <si>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</si>
  <si>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</si>
  <si>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</si>
  <si>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</si>
  <si>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</si>
  <si>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</si>
  <si>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</si>
  <si>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</si>
  <si>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</si>
  <si>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</si>
  <si>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</si>
  <si>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</si>
  <si>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</si>
  <si>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</si>
  <si>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</si>
  <si>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</si>
  <si>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</si>
  <si>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</si>
  <si>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</si>
  <si>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</si>
  <si>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</si>
  <si>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</si>
  <si>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</si>
  <si>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</si>
  <si>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</si>
  <si>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</si>
  <si>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</si>
  <si>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</si>
  <si>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</si>
  <si>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</si>
  <si>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</si>
  <si>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</si>
  <si>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</si>
  <si>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</si>
  <si>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</si>
  <si>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</si>
  <si>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</si>
  <si>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</si>
  <si>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</si>
  <si>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</si>
  <si>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</si>
  <si>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</si>
  <si>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</si>
  <si>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</si>
  <si>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</si>
  <si>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</si>
  <si>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</si>
  <si>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</si>
  <si>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</si>
  <si>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</si>
  <si>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</si>
  <si>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</si>
  <si>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</si>
  <si>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</si>
  <si>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</si>
  <si>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</si>
  <si>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</si>
  <si>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</si>
  <si>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</si>
  <si>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</si>
  <si>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</si>
  <si>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</si>
  <si>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</si>
  <si>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</si>
  <si>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</si>
  <si>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</si>
  <si>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</si>
  <si>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</si>
  <si>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</si>
  <si>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</si>
  <si>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</si>
  <si>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</si>
  <si>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</si>
  <si>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</si>
  <si>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</si>
  <si>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</si>
  <si>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</si>
  <si>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</si>
  <si>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</si>
  <si>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</si>
  <si>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</si>
  <si>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</si>
  <si>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</si>
  <si>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</si>
  <si>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</si>
  <si>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</si>
  <si>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</si>
  <si>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</si>
  <si>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</si>
  <si>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</si>
  <si>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</si>
  <si>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</si>
  <si>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</si>
  <si>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</si>
  <si>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</si>
  <si>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</si>
  <si>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</si>
  <si>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</si>
  <si>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</si>
  <si>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</si>
  <si>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</si>
  <si>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</si>
  <si>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</si>
  <si>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</si>
  <si>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</si>
  <si>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</si>
  <si>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</si>
  <si>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</si>
  <si>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</si>
  <si>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</si>
  <si>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</si>
  <si>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</si>
  <si>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</si>
  <si>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</si>
  <si>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</si>
  <si>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</si>
  <si>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</si>
  <si>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</si>
  <si>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</si>
  <si>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</si>
  <si>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</si>
  <si>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</si>
  <si>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</si>
  <si>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</si>
  <si>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</si>
  <si>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</si>
  <si>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</si>
  <si>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</si>
  <si>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</si>
  <si>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</si>
  <si>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</si>
  <si>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</si>
  <si>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</si>
  <si>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</si>
  <si>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</si>
  <si>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</si>
  <si>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</si>
  <si>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</si>
  <si>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</si>
  <si>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</si>
  <si>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</si>
  <si>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</si>
  <si>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</si>
  <si>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</si>
  <si>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</si>
  <si>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</si>
  <si>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</si>
  <si>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</si>
  <si>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</si>
  <si>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</si>
  <si>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</si>
  <si>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</si>
  <si>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</si>
  <si>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</si>
  <si>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</si>
  <si>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</si>
  <si>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</si>
  <si>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</si>
  <si>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</si>
  <si>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</si>
  <si>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</si>
  <si>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</si>
  <si>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</si>
  <si>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</si>
  <si>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</si>
  <si>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</si>
  <si>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</si>
  <si>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</si>
  <si>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</si>
  <si>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</si>
  <si>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</si>
  <si>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</si>
  <si>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</si>
  <si>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</si>
  <si>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</si>
  <si>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</si>
  <si>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</si>
  <si>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</si>
  <si>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</si>
  <si>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</si>
  <si>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</si>
  <si>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</si>
  <si>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</si>
  <si>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</si>
  <si>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</si>
  <si>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</si>
  <si>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</si>
  <si>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</si>
  <si>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</si>
  <si>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</si>
  <si>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</si>
  <si>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</si>
  <si>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</si>
  <si>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</si>
  <si>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</si>
  <si>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</si>
  <si>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</si>
  <si>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</si>
  <si>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</si>
  <si>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</si>
  <si>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</si>
  <si>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</si>
  <si>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</si>
  <si>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</si>
  <si>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</si>
  <si>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</si>
  <si>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</si>
  <si>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</si>
  <si>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</si>
  <si>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</si>
  <si>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</si>
  <si>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</si>
  <si>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</si>
  <si>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</si>
  <si>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</si>
  <si>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</si>
  <si>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</si>
  <si>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</si>
  <si>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</si>
  <si>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</si>
  <si>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</si>
  <si>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</si>
  <si>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</si>
  <si>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</si>
  <si>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</si>
  <si>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</si>
  <si>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</si>
  <si>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</si>
  <si>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</si>
  <si>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</si>
  <si>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</si>
  <si>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</si>
  <si>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</si>
  <si>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</si>
  <si>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</si>
  <si>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</si>
  <si>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</si>
  <si>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</si>
  <si>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</si>
  <si>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</si>
  <si>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</si>
  <si>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</si>
  <si>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</si>
  <si>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</si>
  <si>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</si>
  <si>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</si>
  <si>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</si>
  <si>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</si>
  <si>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</si>
  <si>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</si>
  <si>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</si>
  <si>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</si>
  <si>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</si>
  <si>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</si>
  <si>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</si>
  <si>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</si>
  <si>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</si>
  <si>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</si>
  <si>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</si>
  <si>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</si>
  <si>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</si>
  <si>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</si>
  <si>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</si>
  <si>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</si>
  <si>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</si>
  <si>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</si>
  <si>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</si>
  <si>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</si>
  <si>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</si>
  <si>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</si>
  <si>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</si>
  <si>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</si>
  <si>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</si>
  <si>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</si>
  <si>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</si>
  <si>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</si>
  <si>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</si>
  <si>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</si>
  <si>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</si>
  <si>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</si>
  <si>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</si>
  <si>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</si>
  <si>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</si>
  <si>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</si>
  <si>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</si>
  <si>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</si>
  <si>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</si>
  <si>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</si>
  <si>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</si>
  <si>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</si>
  <si>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</si>
  <si>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</si>
  <si>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</si>
  <si>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</si>
  <si>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</si>
  <si>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</si>
  <si>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</si>
  <si>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</si>
  <si>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</si>
  <si>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</si>
  <si>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</si>
  <si>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</si>
  <si>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</si>
  <si>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</si>
  <si>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</si>
  <si>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</si>
  <si>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</si>
  <si>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</si>
  <si>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</si>
  <si>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</si>
  <si>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</si>
  <si>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</si>
  <si>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</si>
  <si>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</si>
  <si>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</si>
  <si>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</si>
  <si>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</si>
  <si>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</si>
  <si>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</si>
  <si>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</si>
  <si>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</si>
  <si>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</si>
  <si>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</si>
  <si>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</si>
  <si>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</si>
  <si>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</si>
  <si>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</si>
  <si>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</si>
  <si>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</si>
  <si>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</si>
  <si>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</si>
  <si>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</si>
  <si>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</si>
  <si>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</si>
  <si>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</si>
  <si>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</si>
  <si>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</si>
  <si>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</si>
  <si>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</si>
  <si>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</si>
  <si>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</si>
  <si>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</si>
  <si>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</si>
  <si>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</si>
  <si>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</si>
  <si>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</si>
  <si>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</si>
  <si>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</si>
  <si>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</si>
  <si>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</si>
  <si>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</si>
  <si>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</si>
  <si>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</si>
  <si>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</si>
  <si>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</si>
  <si>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</si>
  <si>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</si>
  <si>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</si>
  <si>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</si>
  <si>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</si>
  <si>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</si>
  <si>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</si>
  <si>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</si>
  <si>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</si>
  <si>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</si>
  <si>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</si>
  <si>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</si>
  <si>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</si>
  <si>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</si>
  <si>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</si>
  <si>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</si>
  <si>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</si>
  <si>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</si>
  <si>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</si>
  <si>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</si>
  <si>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</si>
  <si>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</si>
  <si>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</si>
  <si>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</si>
  <si>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</si>
  <si>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</si>
  <si>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</si>
  <si>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</si>
  <si>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</si>
  <si>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</si>
  <si>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</si>
  <si>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</si>
  <si>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</si>
  <si>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</si>
  <si>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</si>
  <si>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</si>
  <si>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</si>
  <si>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</si>
  <si>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</si>
  <si>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</si>
  <si>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</si>
  <si>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</si>
  <si>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</si>
  <si>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</si>
  <si>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</si>
  <si>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</si>
  <si>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</si>
  <si>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</si>
  <si>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</si>
  <si>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</si>
  <si>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</si>
  <si>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</si>
  <si>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</si>
  <si>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</si>
  <si>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</si>
  <si>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</si>
  <si>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</si>
  <si>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</si>
  <si>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</si>
  <si>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</si>
  <si>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</si>
  <si>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</si>
  <si>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</si>
  <si>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</si>
  <si>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</si>
  <si>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</si>
  <si>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</si>
  <si>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</si>
  <si>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</si>
  <si>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</si>
  <si>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</si>
  <si>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</si>
  <si>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</si>
  <si>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</si>
  <si>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</si>
  <si>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</si>
  <si>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</si>
  <si>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</si>
  <si>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</si>
  <si>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</si>
  <si>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</si>
  <si>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</si>
  <si>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</si>
  <si>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</si>
  <si>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</si>
  <si>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</si>
  <si>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</si>
  <si>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</si>
  <si>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</si>
  <si>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</si>
  <si>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</si>
  <si>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</si>
  <si>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</si>
  <si>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</si>
  <si>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</si>
  <si>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</si>
  <si>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</si>
  <si>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</si>
  <si>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</si>
  <si>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</si>
  <si>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</si>
  <si>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</si>
  <si>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</si>
  <si>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</si>
  <si>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</si>
  <si>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</si>
  <si>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</si>
  <si>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</si>
  <si>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</si>
  <si>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</si>
  <si>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</si>
  <si>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</si>
  <si>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</si>
  <si>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</si>
  <si>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</si>
  <si>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</si>
  <si>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</si>
  <si>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</si>
  <si>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</si>
  <si>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</si>
  <si>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</si>
  <si>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</si>
  <si>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</si>
  <si>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</si>
  <si>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</si>
  <si>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</si>
  <si>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</si>
  <si>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</si>
  <si>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</si>
  <si>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</si>
  <si>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</si>
  <si>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</si>
  <si>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</si>
  <si>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</si>
  <si>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</si>
  <si>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</si>
  <si>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</si>
  <si>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</si>
  <si>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</si>
  <si>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</si>
  <si>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</si>
  <si>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</si>
  <si>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</si>
  <si>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</si>
  <si>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</si>
  <si>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</si>
  <si>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</si>
  <si>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</si>
  <si>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</si>
  <si>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</si>
  <si>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</si>
  <si>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</si>
  <si>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</si>
  <si>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</si>
  <si>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</si>
  <si>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</si>
  <si>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</si>
  <si>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</si>
  <si>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</si>
  <si>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</si>
  <si>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</si>
  <si>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</si>
  <si>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</si>
  <si>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</si>
  <si>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</si>
  <si>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</si>
  <si>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</si>
  <si>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</si>
  <si>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</si>
  <si>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</si>
  <si>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</si>
  <si>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</si>
  <si>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</si>
  <si>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</si>
  <si>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</si>
  <si>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</si>
  <si>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</si>
  <si>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</si>
  <si>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</si>
  <si>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</si>
  <si>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</si>
  <si>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</si>
  <si>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</si>
  <si>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</si>
  <si>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</si>
  <si>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</si>
  <si>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</si>
  <si>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</si>
  <si>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</si>
  <si>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</si>
  <si>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</si>
  <si>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</si>
  <si>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</si>
  <si>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</si>
  <si>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</si>
  <si>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</si>
  <si>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</si>
  <si>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</si>
  <si>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</si>
  <si>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</si>
  <si>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</si>
  <si>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</si>
  <si>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</si>
  <si>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</si>
  <si>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</si>
  <si>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</si>
  <si>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</si>
  <si>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</si>
  <si>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</si>
  <si>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</si>
  <si>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</si>
  <si>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</si>
  <si>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</si>
  <si>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</si>
  <si>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</si>
  <si>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</si>
  <si>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</si>
  <si>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</si>
  <si>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</si>
  <si>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</si>
  <si>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</si>
  <si>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</si>
  <si>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</si>
  <si>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</si>
  <si>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</si>
  <si>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</si>
  <si>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</si>
  <si>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</si>
  <si>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</si>
  <si>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</si>
  <si>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</si>
  <si>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</si>
  <si>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</si>
  <si>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</si>
  <si>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</si>
  <si>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</si>
  <si>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</si>
  <si>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</si>
  <si>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</si>
  <si>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</si>
  <si>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</si>
  <si>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</si>
  <si>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</si>
  <si>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</si>
  <si>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</si>
  <si>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</si>
  <si>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</si>
  <si>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</si>
  <si>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</si>
  <si>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</si>
  <si>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</si>
  <si>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</si>
  <si>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</si>
  <si>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</si>
  <si>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</si>
  <si>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</si>
  <si>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</si>
  <si>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</si>
  <si>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</si>
  <si>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</si>
  <si>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</si>
  <si>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</si>
  <si>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</si>
  <si>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</si>
  <si>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</si>
  <si>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</si>
  <si>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</si>
  <si>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</si>
  <si>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</si>
  <si>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</si>
  <si>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</si>
  <si>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</si>
  <si>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</si>
  <si>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</si>
  <si>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</si>
  <si>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</si>
  <si>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</si>
  <si>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</si>
  <si>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</si>
  <si>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</si>
  <si>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</si>
  <si>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</si>
  <si>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</si>
  <si>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</si>
  <si>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</si>
  <si>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</si>
  <si>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</si>
  <si>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</si>
  <si>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</si>
  <si>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</si>
  <si>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</si>
  <si>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</si>
  <si>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</si>
  <si>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</si>
  <si>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</si>
  <si>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</si>
  <si>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</si>
  <si>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</si>
  <si>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</si>
  <si>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</si>
  <si>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</si>
  <si>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</si>
  <si>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</si>
  <si>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</si>
  <si>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</si>
  <si>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</si>
  <si>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</si>
  <si>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</si>
  <si>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</si>
  <si>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</si>
  <si>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</si>
  <si>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</si>
  <si>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</si>
  <si>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</si>
  <si>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</si>
  <si>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</si>
  <si>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</si>
  <si>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</si>
  <si>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</si>
  <si>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</si>
  <si>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</si>
  <si>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</si>
  <si>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</si>
  <si>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WINNACUNNET</t>
  </si>
  <si>
    <t>August 2004</t>
  </si>
  <si>
    <t>August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</si>
</sst>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6" activePane="bottomRight" state="frozen"/>
      <selection pane="topRight" activeCell="F1" sqref="F1"/>
      <selection pane="bottomLeft" activeCell="A4" sqref="A4"/>
      <selection pane="bottomRight"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581</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1491857.74+200-70.23</f>
        <v>1491987.51</v>
      </c>
      <c r="G9" s="18">
        <v>200</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755660.07</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100125</v>
      </c>
      <c r="G12" s="18">
        <v>127.99</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66830.38</v>
      </c>
      <c r="G13" s="18">
        <v>12070</v>
      </c>
      <c r="H13" s="18">
        <v>104201.85</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5776.92</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14566.91</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1664719.81</v>
      </c>
      <c r="G19" s="41">
        <f>SUM(G9:G18)</f>
        <v>26964.9</v>
      </c>
      <c r="H19" s="41">
        <f>SUM(H9:H18)</f>
        <v>104201.85</v>
      </c>
      <c r="I19" s="41">
        <f>SUM(I9:I18)</f>
        <v>0</v>
      </c>
      <c r="J19" s="41">
        <f>SUM(J9:J18)</f>
        <v>755660.07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127.99</v>
      </c>
      <c r="G22" s="18"/>
      <c r="H22" s="18">
        <v>100124.69</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176200.19</v>
      </c>
      <c r="G24" s="18">
        <v>3493.49</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31920.38</v>
      </c>
      <c r="G28" s="18">
        <v>5170.29</v>
      </c>
      <c r="H28" s="18">
        <v>3250</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2832.47+247.44+9.97+4048.31+169.23</f>
        <v>7307.4199999999992</v>
      </c>
      <c r="G29" s="18"/>
      <c r="H29" s="18">
        <f>248.62+578.5+0.04</f>
        <v>827.16</v>
      </c>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8507.23</v>
      </c>
      <c r="G30" s="18">
        <f>18301.73-0.61</f>
        <v>18301.12</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224063.21000000002</v>
      </c>
      <c r="G32" s="41">
        <f>SUM(G22:G31)</f>
        <v>26964.899999999998</v>
      </c>
      <c r="H32" s="41">
        <f>SUM(H22:H31)</f>
        <v>104201.85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14566.91</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v>-14566.91</v>
      </c>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43095.96</v>
      </c>
      <c r="G48" s="18"/>
      <c r="H48" s="18"/>
      <c r="I48" s="18"/>
      <c r="J48" s="13">
        <f>SUM(I460)</f>
        <v>755660.07</v>
      </c>
      <c r="K48" s="24" t="s">
        <v>288</v>
      </c>
      <c r="L48" s="24" t="s">
        <v>288</v>
      </c>
      <c r="M48" s="8"/>
      <c r="N48" s="266"/>
    </row>
    <row r="49" spans="1:14" s="3" customFormat="1" ht="12.2" customHeight="1" x14ac:dyDescent="0.15">
      <c r="A49" s="1" t="s">
        <v>859</v>
      </c>
      <c r="B49" s="2" t="s">
        <v>289</v>
      </c>
      <c r="C49" s="6">
        <v>34</v>
      </c>
      <c r="D49" s="2"/>
      <c r="E49" s="6">
        <v>753</v>
      </c>
      <c r="F49" s="18">
        <v>34535.64</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1213025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1440656.6</v>
      </c>
      <c r="G51" s="41">
        <f>SUM(G35:G50)</f>
        <v>0</v>
      </c>
      <c r="H51" s="41">
        <f>SUM(H35:H50)</f>
        <v>0</v>
      </c>
      <c r="I51" s="41">
        <f>SUM(I35:I50)</f>
        <v>0</v>
      </c>
      <c r="J51" s="41">
        <f>SUM(J35:J50)</f>
        <v>755660.07</v>
      </c>
      <c r="K51" s="45" t="s">
        <v>288</v>
      </c>
      <c r="L51" s="45" t="s">
        <v>288</v>
      </c>
      <c r="N51" s="264"/>
    </row>
    <row r="52" spans="1:14" s="3" customFormat="1" ht="12.2" customHeight="1" thickTop="1" x14ac:dyDescent="0.15">
      <c r="A52" s="38" t="s">
        <v>455</v>
      </c>
      <c r="B52" s="39" t="s">
        <v>289</v>
      </c>
      <c r="C52" s="6">
        <v>37</v>
      </c>
      <c r="D52" s="39" t="s">
        <v>653</v>
      </c>
      <c r="E52" s="39"/>
      <c r="F52" s="41">
        <f>F51+F32</f>
        <v>1664719.81</v>
      </c>
      <c r="G52" s="41">
        <f>G51+G32</f>
        <v>26964.899999999998</v>
      </c>
      <c r="H52" s="41">
        <f>H51+H32</f>
        <v>104201.85</v>
      </c>
      <c r="I52" s="41">
        <f>I51+I32</f>
        <v>0</v>
      </c>
      <c r="J52" s="41">
        <f>J51+J32</f>
        <v>755660.07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1596669+2962999+6389980+9631896</f>
        <v>20581544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20581544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104249.33</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2900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2215</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109364.33</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9267.48</v>
      </c>
      <c r="G96" s="18"/>
      <c r="H96" s="18"/>
      <c r="I96" s="18"/>
      <c r="J96" s="18">
        <v>28145</v>
      </c>
      <c r="K96" s="24" t="s">
        <v>288</v>
      </c>
      <c r="L96" s="24" t="s">
        <v>288</v>
      </c>
      <c r="M96" s="8"/>
      <c r="N96" s="266"/>
    </row>
    <row r="97" spans="1:14" s="3" customFormat="1" ht="12.2" customHeight="1" x14ac:dyDescent="0.15">
      <c r="A97" s="1" t="s">
        <v>503</v>
      </c>
      <c r="B97" s="2" t="s">
        <v>315</v>
      </c>
      <c r="C97" s="6">
        <v>12</v>
      </c>
      <c r="D97" s="2" t="s">
        <v>430</v>
      </c>
      <c r="E97" s="6">
        <v>1600</v>
      </c>
      <c r="F97" s="24" t="s">
        <v>288</v>
      </c>
      <c r="G97" s="18">
        <f>312990.33+11830.4</f>
        <v>324820.73000000004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8420</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1250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3103.29</v>
      </c>
      <c r="G102" s="18">
        <v>1000</v>
      </c>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14804.16+15558+20500</f>
        <v>50862.16</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72902.930000000008</v>
      </c>
      <c r="G111" s="41">
        <f>SUM(G96:G110)</f>
        <v>325820.73000000004</v>
      </c>
      <c r="H111" s="41">
        <f>SUM(H96:H110)</f>
        <v>0</v>
      </c>
      <c r="I111" s="41">
        <f>SUM(I96:I110)</f>
        <v>0</v>
      </c>
      <c r="J111" s="41">
        <f>SUM(J96:J110)</f>
        <v>28145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20763811.259999998</v>
      </c>
      <c r="G112" s="41">
        <f>G60+G111</f>
        <v>325820.73000000004</v>
      </c>
      <c r="H112" s="41">
        <f>H60+H79+H94+H111</f>
        <v>0</v>
      </c>
      <c r="I112" s="41">
        <f>I60+I111</f>
        <v>0</v>
      </c>
      <c r="J112" s="41">
        <f>J60+J111</f>
        <v>28145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418587.19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f>2360905+318079+800495+1043451</f>
        <v>4522930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6172.64</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4947689.83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824839.17</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813709.73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15911</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4407.46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1654459.9</v>
      </c>
      <c r="G136" s="41">
        <f>SUM(G123:G135)</f>
        <v>4407.46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6602149.7300000004</v>
      </c>
      <c r="G140" s="41">
        <f>G121+SUM(G136:G137)</f>
        <v>4407.46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29914.17</v>
      </c>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29914.17</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167938.31+167.06</f>
        <v>168105.37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41566.21+11662+52968.56+2608.36+16316.38+12744.45+4200+1612.58</f>
        <v>143678.53999999998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f>36953.98+20467.52</f>
        <v>57421.5</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106938.94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158660.14+878.57+106503.47</f>
        <v>266042.18000000005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65743.77</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65743.77</v>
      </c>
      <c r="G163" s="41">
        <f>SUM(G150:G162)</f>
        <v>106938.94</v>
      </c>
      <c r="H163" s="41">
        <f>SUM(H150:H162)</f>
        <v>635247.59000000008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v>79330.42</v>
      </c>
      <c r="G169" s="18">
        <v>26985.48</v>
      </c>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174988.36</v>
      </c>
      <c r="G170" s="41">
        <f>G147+G163+SUM(G164:G169)</f>
        <v>133924.42000000001</v>
      </c>
      <c r="H170" s="41">
        <f>H147+H163+SUM(H164:H169)</f>
        <v>635247.59000000008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55153</v>
      </c>
      <c r="H180" s="18"/>
      <c r="I180" s="18"/>
      <c r="J180" s="18">
        <v>125000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55153</v>
      </c>
      <c r="H184" s="41">
        <f>SUM(H180:H183)</f>
        <v>0</v>
      </c>
      <c r="I184" s="41">
        <f>SUM(I180:I183)</f>
        <v>0</v>
      </c>
      <c r="J184" s="41">
        <f>SUM(J180:J183)</f>
        <v>125000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5500</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5500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5500</v>
      </c>
      <c r="G193" s="41">
        <f>G184+SUM(G189:G192)</f>
        <v>55153</v>
      </c>
      <c r="H193" s="41">
        <f>+H184+SUM(H189:H192)</f>
        <v>0</v>
      </c>
      <c r="I193" s="41">
        <f>I178+I184+SUM(I189:I192)</f>
        <v>0</v>
      </c>
      <c r="J193" s="41">
        <f>J184</f>
        <v>125000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27546449.349999998</v>
      </c>
      <c r="G194" s="47">
        <f>G112+G140+G170+G193</f>
        <v>519305.6100000001</v>
      </c>
      <c r="H194" s="47">
        <f>H112+H140+H170+H193</f>
        <v>635247.59000000008</v>
      </c>
      <c r="I194" s="47">
        <f>I112+I140+I170+I193</f>
        <v>0</v>
      </c>
      <c r="J194" s="47">
        <f>J112+J140+J193</f>
        <v>153145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6"/>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6738792.5899999999</v>
      </c>
      <c r="G234" s="18">
        <f>3225465.86-0.01</f>
        <v>3225465.85</v>
      </c>
      <c r="H234" s="18">
        <v>3079.55</v>
      </c>
      <c r="I234" s="18">
        <f>115266.03+67.72</f>
        <v>115333.75</v>
      </c>
      <c r="J234" s="18">
        <v>66475.72</v>
      </c>
      <c r="K234" s="18"/>
      <c r="L234" s="19">
        <f>SUM(F234:K234)</f>
        <v>10149147.460000001</v>
      </c>
      <c r="M234" s="8"/>
      <c r="N234" s="266"/>
    </row>
    <row r="235" spans="1:14" s="3" customFormat="1" ht="12.2" customHeight="1" x14ac:dyDescent="0.15">
      <c r="A235" s="1" t="s">
        <v>439</v>
      </c>
      <c r="B235" s="2" t="s">
        <v>350</v>
      </c>
      <c r="C235" s="2" t="s">
        <v>291</v>
      </c>
      <c r="D235" s="2" t="s">
        <v>431</v>
      </c>
      <c r="E235" s="6">
        <v>1200</v>
      </c>
      <c r="F235" s="18">
        <v>1762492.41</v>
      </c>
      <c r="G235" s="18">
        <v>835886.35</v>
      </c>
      <c r="H235" s="18">
        <v>1727526.8</v>
      </c>
      <c r="I235" s="18">
        <v>2563.3000000000002</v>
      </c>
      <c r="J235" s="18">
        <v>862</v>
      </c>
      <c r="K235" s="18">
        <v>830</v>
      </c>
      <c r="L235" s="19">
        <f>SUM(F235:K235)</f>
        <v>4330160.8599999994</v>
      </c>
      <c r="M235" s="8"/>
      <c r="N235" s="266"/>
    </row>
    <row r="236" spans="1:14" s="3" customFormat="1" ht="12.2" customHeight="1" x14ac:dyDescent="0.15">
      <c r="A236" s="1" t="s">
        <v>440</v>
      </c>
      <c r="B236" s="2" t="s">
        <v>350</v>
      </c>
      <c r="C236" s="2" t="s">
        <v>292</v>
      </c>
      <c r="D236" s="2" t="s">
        <v>431</v>
      </c>
      <c r="E236" s="6">
        <v>1300</v>
      </c>
      <c r="F236" s="18"/>
      <c r="G236" s="18"/>
      <c r="H236" s="18">
        <v>172494</v>
      </c>
      <c r="I236" s="18"/>
      <c r="J236" s="18"/>
      <c r="K236" s="18"/>
      <c r="L236" s="19">
        <f>SUM(F236:K236)</f>
        <v>172494</v>
      </c>
      <c r="M236" s="8"/>
      <c r="N236" s="266"/>
    </row>
    <row r="237" spans="1:14" s="3" customFormat="1" ht="12.2" customHeight="1" x14ac:dyDescent="0.15">
      <c r="A237" s="1" t="s">
        <v>441</v>
      </c>
      <c r="B237" s="2" t="s">
        <v>350</v>
      </c>
      <c r="C237" s="2" t="s">
        <v>293</v>
      </c>
      <c r="D237" s="2" t="s">
        <v>431</v>
      </c>
      <c r="E237" s="6">
        <v>1400</v>
      </c>
      <c r="F237" s="18">
        <f>396176.03+58800</f>
        <v>454976.03</v>
      </c>
      <c r="G237" s="18">
        <f>112297.04+4509.96</f>
        <v>116807</v>
      </c>
      <c r="H237" s="18">
        <v>140354.13</v>
      </c>
      <c r="I237" s="18">
        <f>90755.2+6471.93</f>
        <v>97227.13</v>
      </c>
      <c r="J237" s="18">
        <v>19260.439999999999</v>
      </c>
      <c r="K237" s="18">
        <f>34221.25+1000</f>
        <v>35221.25</v>
      </c>
      <c r="L237" s="19">
        <f>SUM(F237:K237)</f>
        <v>863845.98</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797428.2+138809.1</f>
        <v>936237.29999999993</v>
      </c>
      <c r="G239" s="18">
        <v>428549.65</v>
      </c>
      <c r="H239" s="18">
        <f>70656.8+414</f>
        <v>71070.8</v>
      </c>
      <c r="I239" s="18">
        <f>1997.3+4714.12</f>
        <v>6711.42</v>
      </c>
      <c r="J239" s="18"/>
      <c r="K239" s="18">
        <v>359</v>
      </c>
      <c r="L239" s="19">
        <f t="shared" ref="L239:L245" si="4">SUM(F239:K239)</f>
        <v>1442928.17</v>
      </c>
      <c r="M239" s="8"/>
      <c r="N239" s="266"/>
    </row>
    <row r="240" spans="1:14" s="3" customFormat="1" ht="12.2" customHeight="1" x14ac:dyDescent="0.15">
      <c r="A240" s="1" t="s">
        <v>443</v>
      </c>
      <c r="B240" s="2" t="s">
        <v>350</v>
      </c>
      <c r="C240" s="2" t="s">
        <v>295</v>
      </c>
      <c r="D240" s="2" t="s">
        <v>431</v>
      </c>
      <c r="E240" s="6">
        <v>2200</v>
      </c>
      <c r="F240" s="18">
        <f>296552+126575.46+299766.48+9750</f>
        <v>732643.94</v>
      </c>
      <c r="G240" s="18">
        <f>88544.38+344107.89</f>
        <v>432652.27</v>
      </c>
      <c r="H240" s="18">
        <f>13341.02+60+41623.23+36553.1</f>
        <v>91577.35</v>
      </c>
      <c r="I240" s="18">
        <f>188.41+36383.53+168152.7</f>
        <v>204724.64</v>
      </c>
      <c r="J240" s="18">
        <f>1846.63+215344.98</f>
        <v>217191.61000000002</v>
      </c>
      <c r="K240" s="18"/>
      <c r="L240" s="19">
        <f t="shared" si="4"/>
        <v>1678789.8100000003</v>
      </c>
      <c r="M240" s="8"/>
      <c r="N240" s="266"/>
    </row>
    <row r="241" spans="1:14" s="3" customFormat="1" ht="12.2" customHeight="1" x14ac:dyDescent="0.15">
      <c r="A241" s="1" t="s">
        <v>444</v>
      </c>
      <c r="B241" s="2" t="s">
        <v>350</v>
      </c>
      <c r="C241" s="2" t="s">
        <v>296</v>
      </c>
      <c r="D241" s="2" t="s">
        <v>431</v>
      </c>
      <c r="E241" s="6">
        <v>2300</v>
      </c>
      <c r="F241" s="18">
        <v>27740.06</v>
      </c>
      <c r="G241" s="18">
        <v>2122.11</v>
      </c>
      <c r="H241" s="18">
        <f>34428.39+850896</f>
        <v>885324.39</v>
      </c>
      <c r="I241" s="18"/>
      <c r="J241" s="18"/>
      <c r="K241" s="18">
        <v>6184.8</v>
      </c>
      <c r="L241" s="19">
        <f t="shared" si="4"/>
        <v>921371.3600000001</v>
      </c>
      <c r="M241" s="8"/>
      <c r="N241" s="266"/>
    </row>
    <row r="242" spans="1:14" s="3" customFormat="1" ht="12.2" customHeight="1" x14ac:dyDescent="0.15">
      <c r="A242" s="1" t="s">
        <v>445</v>
      </c>
      <c r="B242" s="2" t="s">
        <v>350</v>
      </c>
      <c r="C242" s="2" t="s">
        <v>297</v>
      </c>
      <c r="D242" s="2" t="s">
        <v>431</v>
      </c>
      <c r="E242" s="6">
        <v>2400</v>
      </c>
      <c r="F242" s="18">
        <v>699231.31</v>
      </c>
      <c r="G242" s="18">
        <v>337959.62</v>
      </c>
      <c r="H242" s="18">
        <v>87969.82</v>
      </c>
      <c r="I242" s="18">
        <v>15061.5</v>
      </c>
      <c r="J242" s="18"/>
      <c r="K242" s="18">
        <v>49285.62</v>
      </c>
      <c r="L242" s="19">
        <f t="shared" si="4"/>
        <v>1189507.8700000001</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v>862811.23</v>
      </c>
      <c r="G244" s="18">
        <v>512326.06</v>
      </c>
      <c r="H244" s="18">
        <f>331779.32+179789.45+13175.76+159.84</f>
        <v>524904.37</v>
      </c>
      <c r="I244" s="18">
        <v>413203.95</v>
      </c>
      <c r="J244" s="18">
        <f>120078.5+12893.96</f>
        <v>132972.46</v>
      </c>
      <c r="K244" s="18"/>
      <c r="L244" s="19">
        <f t="shared" si="4"/>
        <v>2446218.0700000003</v>
      </c>
      <c r="M244" s="8"/>
      <c r="N244" s="266"/>
    </row>
    <row r="245" spans="1:14" s="3" customFormat="1" ht="12.2" customHeight="1" x14ac:dyDescent="0.15">
      <c r="A245" s="1" t="s">
        <v>448</v>
      </c>
      <c r="B245" s="2" t="s">
        <v>350</v>
      </c>
      <c r="C245" s="2" t="s">
        <v>300</v>
      </c>
      <c r="D245" s="2" t="s">
        <v>431</v>
      </c>
      <c r="E245" s="6">
        <v>2700</v>
      </c>
      <c r="F245" s="18"/>
      <c r="G245" s="18"/>
      <c r="H245" s="18">
        <f>489789.3+158121.56+90554.84+6562.48+44975.66</f>
        <v>790003.84</v>
      </c>
      <c r="I245" s="18"/>
      <c r="J245" s="18"/>
      <c r="K245" s="18"/>
      <c r="L245" s="19">
        <f t="shared" si="4"/>
        <v>790003.84</v>
      </c>
      <c r="M245" s="8"/>
      <c r="N245" s="266"/>
    </row>
    <row r="246" spans="1:14" s="3" customFormat="1" ht="12.2" customHeight="1" x14ac:dyDescent="0.15">
      <c r="A246" s="1" t="s">
        <v>449</v>
      </c>
      <c r="B246" s="2" t="s">
        <v>350</v>
      </c>
      <c r="C246" s="2" t="s">
        <v>343</v>
      </c>
      <c r="D246" s="2" t="s">
        <v>431</v>
      </c>
      <c r="E246" s="6">
        <v>2800</v>
      </c>
      <c r="F246" s="18"/>
      <c r="G246" s="18">
        <v>14476.5</v>
      </c>
      <c r="H246" s="18"/>
      <c r="I246" s="18"/>
      <c r="J246" s="18"/>
      <c r="K246" s="18">
        <v>2026.95</v>
      </c>
      <c r="L246" s="19">
        <f>SUM(F246:K246)</f>
        <v>16503.45</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12214924.870000001</v>
      </c>
      <c r="G248" s="41">
        <f t="shared" si="5"/>
        <v>5906245.4100000011</v>
      </c>
      <c r="H248" s="41">
        <f t="shared" si="5"/>
        <v>4494305.05</v>
      </c>
      <c r="I248" s="41">
        <f t="shared" si="5"/>
        <v>854825.69</v>
      </c>
      <c r="J248" s="41">
        <f t="shared" si="5"/>
        <v>436762.23</v>
      </c>
      <c r="K248" s="41">
        <f t="shared" si="5"/>
        <v>93907.62000000001</v>
      </c>
      <c r="L248" s="41">
        <f t="shared" si="5"/>
        <v>24000970.869999997</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v>102344.41</v>
      </c>
      <c r="G252" s="18">
        <v>8388.86</v>
      </c>
      <c r="H252" s="18"/>
      <c r="I252" s="18">
        <v>126.89</v>
      </c>
      <c r="J252" s="18"/>
      <c r="K252" s="18"/>
      <c r="L252" s="19">
        <f t="shared" si="6"/>
        <v>110860.16</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396198.2</v>
      </c>
      <c r="I256" s="18"/>
      <c r="J256" s="18">
        <v>115000</v>
      </c>
      <c r="K256" s="18"/>
      <c r="L256" s="19">
        <f t="shared" si="6"/>
        <v>511198.2</v>
      </c>
      <c r="M256" s="8"/>
      <c r="N256" s="266"/>
    </row>
    <row r="257" spans="1:14" s="3" customFormat="1" ht="12.2" customHeight="1" thickTop="1" thickBot="1" x14ac:dyDescent="0.2">
      <c r="A257" s="38" t="s">
        <v>461</v>
      </c>
      <c r="B257" s="40">
        <v>10</v>
      </c>
      <c r="C257" s="40">
        <v>7</v>
      </c>
      <c r="D257" s="39" t="s">
        <v>431</v>
      </c>
      <c r="E257" s="40"/>
      <c r="F257" s="41">
        <f t="shared" ref="F257:K257" si="7">SUM(F251:F256)</f>
        <v>102344.41</v>
      </c>
      <c r="G257" s="41">
        <f t="shared" si="7"/>
        <v>8388.86</v>
      </c>
      <c r="H257" s="41">
        <f t="shared" si="7"/>
        <v>396198.2</v>
      </c>
      <c r="I257" s="41">
        <f t="shared" si="7"/>
        <v>126.89</v>
      </c>
      <c r="J257" s="41">
        <f t="shared" si="7"/>
        <v>115000</v>
      </c>
      <c r="K257" s="41">
        <f t="shared" si="7"/>
        <v>0</v>
      </c>
      <c r="L257" s="41">
        <f>SUM(F257:K257)</f>
        <v>622058.3600000001</v>
      </c>
      <c r="M257" s="8"/>
      <c r="N257" s="266"/>
    </row>
    <row r="258" spans="1:14" s="3" customFormat="1" ht="12.2" customHeight="1" thickTop="1" x14ac:dyDescent="0.15">
      <c r="A258" s="38" t="s">
        <v>462</v>
      </c>
      <c r="B258" s="40">
        <v>10</v>
      </c>
      <c r="C258" s="40">
        <v>8</v>
      </c>
      <c r="D258" s="39" t="s">
        <v>431</v>
      </c>
      <c r="E258" s="40"/>
      <c r="F258" s="41">
        <f t="shared" ref="F258:L258" si="8">F212+F230+F248+F257</f>
        <v>12317269.280000001</v>
      </c>
      <c r="G258" s="41">
        <f t="shared" si="8"/>
        <v>5914634.2700000014</v>
      </c>
      <c r="H258" s="41">
        <f t="shared" si="8"/>
        <v>4890503.25</v>
      </c>
      <c r="I258" s="41">
        <f t="shared" si="8"/>
        <v>854952.58</v>
      </c>
      <c r="J258" s="41">
        <f t="shared" si="8"/>
        <v>551762.23</v>
      </c>
      <c r="K258" s="41">
        <f t="shared" si="8"/>
        <v>93907.62000000001</v>
      </c>
      <c r="L258" s="41">
        <f t="shared" si="8"/>
        <v>24623029.229999997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1530000</v>
      </c>
      <c r="L261" s="19">
        <f>SUM(F261:K261)</f>
        <v>1530000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442696</v>
      </c>
      <c r="L262" s="19">
        <f>SUM(F262:K262)</f>
        <v>442696</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55153</v>
      </c>
      <c r="L264" s="19">
        <f>SUM(F264:K264)</f>
        <v>55153</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125000</v>
      </c>
      <c r="L267" s="19">
        <f t="shared" si="9"/>
        <v>125000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2152849</v>
      </c>
      <c r="L271" s="41">
        <f t="shared" si="9"/>
        <v>2152849</v>
      </c>
      <c r="M271" s="8"/>
      <c r="N271" s="266"/>
    </row>
    <row r="272" spans="1:14" s="34" customFormat="1" ht="12.2" customHeight="1" thickTop="1" x14ac:dyDescent="0.2">
      <c r="A272" s="43" t="s">
        <v>464</v>
      </c>
      <c r="B272" s="40">
        <v>10</v>
      </c>
      <c r="C272" s="40">
        <v>18</v>
      </c>
      <c r="D272" s="39" t="s">
        <v>431</v>
      </c>
      <c r="E272" s="40"/>
      <c r="F272" s="42">
        <f t="shared" ref="F272:L272" si="11">F258+F271</f>
        <v>12317269.280000001</v>
      </c>
      <c r="G272" s="42">
        <f t="shared" si="11"/>
        <v>5914634.2700000014</v>
      </c>
      <c r="H272" s="42">
        <f t="shared" si="11"/>
        <v>4890503.25</v>
      </c>
      <c r="I272" s="42">
        <f t="shared" si="11"/>
        <v>854952.58</v>
      </c>
      <c r="J272" s="42">
        <f t="shared" si="11"/>
        <v>551762.23</v>
      </c>
      <c r="K272" s="42">
        <f t="shared" si="11"/>
        <v>2246756.62</v>
      </c>
      <c r="L272" s="42">
        <f t="shared" si="11"/>
        <v>26775878.229999997</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124800</v>
      </c>
      <c r="G315" s="18">
        <v>37210.400000000001</v>
      </c>
      <c r="H315" s="18"/>
      <c r="I315" s="18"/>
      <c r="J315" s="18"/>
      <c r="K315" s="18"/>
      <c r="L315" s="19">
        <f>SUM(F315:K315)</f>
        <v>162010.4</v>
      </c>
      <c r="M315" s="8"/>
      <c r="N315" s="266"/>
    </row>
    <row r="316" spans="1:14" s="3" customFormat="1" ht="12.2" customHeight="1" x14ac:dyDescent="0.15">
      <c r="A316" s="1" t="s">
        <v>439</v>
      </c>
      <c r="B316" s="2" t="s">
        <v>359</v>
      </c>
      <c r="C316" s="2" t="s">
        <v>291</v>
      </c>
      <c r="D316" s="2" t="s">
        <v>431</v>
      </c>
      <c r="E316" s="6">
        <v>1200</v>
      </c>
      <c r="F316" s="18">
        <v>54328.04</v>
      </c>
      <c r="G316" s="18">
        <v>10722.92</v>
      </c>
      <c r="H316" s="18">
        <f>180283+1612.58</f>
        <v>181895.58</v>
      </c>
      <c r="I316" s="18">
        <v>6156.6</v>
      </c>
      <c r="J316" s="18">
        <v>6697</v>
      </c>
      <c r="K316" s="18">
        <v>2741.3</v>
      </c>
      <c r="L316" s="19">
        <f>SUM(F316:K316)</f>
        <v>262541.44</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3780</v>
      </c>
      <c r="G320" s="18">
        <v>681.66</v>
      </c>
      <c r="H320" s="18"/>
      <c r="I320" s="18"/>
      <c r="J320" s="18"/>
      <c r="K320" s="18"/>
      <c r="L320" s="19">
        <f t="shared" ref="L320:L326" si="16">SUM(F320:K320)</f>
        <v>4461.66</v>
      </c>
      <c r="M320" s="8"/>
      <c r="N320" s="266"/>
    </row>
    <row r="321" spans="1:14" s="3" customFormat="1" ht="12.2" customHeight="1" x14ac:dyDescent="0.15">
      <c r="A321" s="1" t="s">
        <v>443</v>
      </c>
      <c r="B321" s="2" t="s">
        <v>359</v>
      </c>
      <c r="C321" s="2" t="s">
        <v>295</v>
      </c>
      <c r="D321" s="2" t="s">
        <v>431</v>
      </c>
      <c r="E321" s="6">
        <v>2200</v>
      </c>
      <c r="F321" s="18">
        <v>35450</v>
      </c>
      <c r="G321" s="18">
        <v>8356.17</v>
      </c>
      <c r="H321" s="18">
        <v>40400.5</v>
      </c>
      <c r="I321" s="18">
        <v>3205.95</v>
      </c>
      <c r="J321" s="18"/>
      <c r="K321" s="18"/>
      <c r="L321" s="19">
        <f t="shared" si="16"/>
        <v>87412.62</v>
      </c>
      <c r="M321" s="8"/>
      <c r="N321" s="266"/>
    </row>
    <row r="322" spans="1:14" s="3" customFormat="1" ht="12.2" customHeight="1" x14ac:dyDescent="0.15">
      <c r="A322" s="1" t="s">
        <v>444</v>
      </c>
      <c r="B322" s="2" t="s">
        <v>359</v>
      </c>
      <c r="C322" s="2" t="s">
        <v>296</v>
      </c>
      <c r="D322" s="2" t="s">
        <v>431</v>
      </c>
      <c r="E322" s="6">
        <v>2300</v>
      </c>
      <c r="F322" s="18">
        <v>38500</v>
      </c>
      <c r="G322" s="18">
        <v>9227.65</v>
      </c>
      <c r="H322" s="18">
        <v>7500</v>
      </c>
      <c r="I322" s="18"/>
      <c r="J322" s="18"/>
      <c r="K322" s="18">
        <f>11591.3+2.52</f>
        <v>11593.82</v>
      </c>
      <c r="L322" s="19">
        <f t="shared" si="16"/>
        <v>66821.47</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256858.04</v>
      </c>
      <c r="G329" s="42">
        <f t="shared" si="17"/>
        <v>66198.8</v>
      </c>
      <c r="H329" s="42">
        <f t="shared" si="17"/>
        <v>229796.08</v>
      </c>
      <c r="I329" s="42">
        <f t="shared" si="17"/>
        <v>9362.5499999999993</v>
      </c>
      <c r="J329" s="42">
        <f t="shared" si="17"/>
        <v>6697</v>
      </c>
      <c r="K329" s="42">
        <f t="shared" si="17"/>
        <v>14335.119999999999</v>
      </c>
      <c r="L329" s="41">
        <f t="shared" si="17"/>
        <v>583247.59</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v>43524.25</v>
      </c>
      <c r="G334" s="18">
        <v>7455.81</v>
      </c>
      <c r="H334" s="18"/>
      <c r="I334" s="18">
        <v>684.95</v>
      </c>
      <c r="J334" s="18">
        <v>334.99</v>
      </c>
      <c r="K334" s="18"/>
      <c r="L334" s="19">
        <f t="shared" si="18"/>
        <v>51999.999999999993</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43524.25</v>
      </c>
      <c r="G338" s="41">
        <f t="shared" si="19"/>
        <v>7455.81</v>
      </c>
      <c r="H338" s="41">
        <f t="shared" si="19"/>
        <v>0</v>
      </c>
      <c r="I338" s="41">
        <f t="shared" si="19"/>
        <v>684.95</v>
      </c>
      <c r="J338" s="41">
        <f t="shared" si="19"/>
        <v>334.99</v>
      </c>
      <c r="K338" s="41">
        <f t="shared" si="19"/>
        <v>0</v>
      </c>
      <c r="L338" s="41">
        <f t="shared" si="18"/>
        <v>51999.999999999993</v>
      </c>
      <c r="M338" s="8"/>
      <c r="N338" s="266"/>
    </row>
    <row r="339" spans="1:43" s="3" customFormat="1" ht="12.2" customHeight="1" thickTop="1" x14ac:dyDescent="0.15">
      <c r="A339" s="38" t="s">
        <v>468</v>
      </c>
      <c r="B339" s="40">
        <v>14</v>
      </c>
      <c r="C339" s="40">
        <v>7</v>
      </c>
      <c r="D339" s="39" t="s">
        <v>431</v>
      </c>
      <c r="E339" s="40"/>
      <c r="F339" s="41">
        <f t="shared" ref="F339:L339" si="20">F291+F310+F329+F338</f>
        <v>300382.29000000004</v>
      </c>
      <c r="G339" s="41">
        <f t="shared" si="20"/>
        <v>73654.61</v>
      </c>
      <c r="H339" s="41">
        <f t="shared" si="20"/>
        <v>229796.08</v>
      </c>
      <c r="I339" s="41">
        <f t="shared" si="20"/>
        <v>10047.5</v>
      </c>
      <c r="J339" s="41">
        <f t="shared" si="20"/>
        <v>7031.99</v>
      </c>
      <c r="K339" s="41">
        <f t="shared" si="20"/>
        <v>14335.119999999999</v>
      </c>
      <c r="L339" s="41">
        <f t="shared" si="20"/>
        <v>635247.59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300382.29000000004</v>
      </c>
      <c r="G353" s="41">
        <f>G339</f>
        <v>73654.61</v>
      </c>
      <c r="H353" s="41">
        <f>H339</f>
        <v>229796.08</v>
      </c>
      <c r="I353" s="41">
        <f>I339</f>
        <v>10047.5</v>
      </c>
      <c r="J353" s="41">
        <f>J339</f>
        <v>7031.99</v>
      </c>
      <c r="K353" s="47">
        <f>K339+K352</f>
        <v>14335.119999999999</v>
      </c>
      <c r="L353" s="41">
        <f>L339+L352</f>
        <v>635247.59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f>58522.53+221488.05+1927.76</f>
        <v>281938.33999999997</v>
      </c>
      <c r="G361" s="18"/>
      <c r="H361" s="18">
        <f>920.2+6403.8-1.01</f>
        <v>7322.99</v>
      </c>
      <c r="I361" s="18">
        <f>14680.25+194879.96+26985.48</f>
        <v>236545.69</v>
      </c>
      <c r="J361" s="18">
        <v>1601.4</v>
      </c>
      <c r="K361" s="18">
        <v>1565.72</v>
      </c>
      <c r="L361" s="19">
        <f>SUM(F361:K361)</f>
        <v>528974.14</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281938.33999999997</v>
      </c>
      <c r="G363" s="47">
        <f t="shared" si="22"/>
        <v>0</v>
      </c>
      <c r="H363" s="47">
        <f t="shared" si="22"/>
        <v>7322.99</v>
      </c>
      <c r="I363" s="47">
        <f t="shared" si="22"/>
        <v>236545.69</v>
      </c>
      <c r="J363" s="47">
        <f t="shared" si="22"/>
        <v>1601.4</v>
      </c>
      <c r="K363" s="47">
        <f t="shared" si="22"/>
        <v>1565.72</v>
      </c>
      <c r="L363" s="47">
        <f t="shared" si="22"/>
        <v>528974.14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f>194879.96+26985.48</f>
        <v>221865.44</v>
      </c>
      <c r="I368" s="56">
        <f>SUM(F368:H368)</f>
        <v>221865.44</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v>14680.25</v>
      </c>
      <c r="I369" s="56">
        <f>SUM(F369:H369)</f>
        <v>14680.25</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236545.69</v>
      </c>
      <c r="I370" s="47">
        <f>SUM(I368:I369)</f>
        <v>236545.69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v>75000</v>
      </c>
      <c r="H396" s="18">
        <v>7661.35</v>
      </c>
      <c r="I396" s="18"/>
      <c r="J396" s="24" t="s">
        <v>288</v>
      </c>
      <c r="K396" s="24" t="s">
        <v>288</v>
      </c>
      <c r="L396" s="56">
        <f t="shared" ref="L396:L401" si="26">SUM(F396:K396)</f>
        <v>82661.350000000006</v>
      </c>
      <c r="M396" s="8"/>
      <c r="N396" s="266"/>
    </row>
    <row r="397" spans="1:14" s="3" customFormat="1" ht="12.2" customHeight="1" x14ac:dyDescent="0.15">
      <c r="A397" s="79" t="s">
        <v>557</v>
      </c>
      <c r="B397" s="2" t="s">
        <v>381</v>
      </c>
      <c r="C397" s="6">
        <v>9</v>
      </c>
      <c r="D397" s="2" t="s">
        <v>432</v>
      </c>
      <c r="E397" s="6"/>
      <c r="F397" s="18"/>
      <c r="G397" s="18"/>
      <c r="H397" s="18">
        <v>8090.85</v>
      </c>
      <c r="I397" s="18"/>
      <c r="J397" s="24" t="s">
        <v>288</v>
      </c>
      <c r="K397" s="24" t="s">
        <v>288</v>
      </c>
      <c r="L397" s="56">
        <f t="shared" si="26"/>
        <v>8090.85</v>
      </c>
      <c r="M397" s="8"/>
      <c r="N397" s="266"/>
    </row>
    <row r="398" spans="1:14" s="3" customFormat="1" ht="12.2" customHeight="1" x14ac:dyDescent="0.15">
      <c r="A398" s="79" t="s">
        <v>515</v>
      </c>
      <c r="B398" s="2" t="s">
        <v>381</v>
      </c>
      <c r="C398" s="6">
        <v>10</v>
      </c>
      <c r="D398" s="2" t="s">
        <v>432</v>
      </c>
      <c r="E398" s="6"/>
      <c r="F398" s="18"/>
      <c r="G398" s="18">
        <v>50000</v>
      </c>
      <c r="H398" s="18">
        <v>12221.32</v>
      </c>
      <c r="I398" s="18"/>
      <c r="J398" s="24" t="s">
        <v>288</v>
      </c>
      <c r="K398" s="24" t="s">
        <v>288</v>
      </c>
      <c r="L398" s="56">
        <f t="shared" si="26"/>
        <v>62221.32</v>
      </c>
      <c r="M398" s="8"/>
      <c r="N398" s="266"/>
    </row>
    <row r="399" spans="1:14" s="3" customFormat="1" ht="12.2" customHeight="1" x14ac:dyDescent="0.15">
      <c r="A399" s="79" t="s">
        <v>558</v>
      </c>
      <c r="B399" s="2" t="s">
        <v>381</v>
      </c>
      <c r="C399" s="6">
        <v>11</v>
      </c>
      <c r="D399" s="2" t="s">
        <v>432</v>
      </c>
      <c r="E399" s="6"/>
      <c r="F399" s="18"/>
      <c r="G399" s="18"/>
      <c r="H399" s="18">
        <v>171.48</v>
      </c>
      <c r="I399" s="18"/>
      <c r="J399" s="24" t="s">
        <v>288</v>
      </c>
      <c r="K399" s="24" t="s">
        <v>288</v>
      </c>
      <c r="L399" s="56">
        <f t="shared" si="26"/>
        <v>171.48</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125000</v>
      </c>
      <c r="H402" s="47">
        <f>SUM(H396:H401)</f>
        <v>28145</v>
      </c>
      <c r="I402" s="47">
        <f>SUM(I396:I401)</f>
        <v>0</v>
      </c>
      <c r="J402" s="45" t="s">
        <v>288</v>
      </c>
      <c r="K402" s="45" t="s">
        <v>288</v>
      </c>
      <c r="L402" s="47">
        <f>SUM(L396:L401)</f>
        <v>153145.00000000003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125000</v>
      </c>
      <c r="H409" s="47">
        <f>H394+H402+H408</f>
        <v>28145</v>
      </c>
      <c r="I409" s="47">
        <f>I394+I402+I408</f>
        <v>0</v>
      </c>
      <c r="J409" s="24" t="s">
        <v>288</v>
      </c>
      <c r="K409" s="24" t="s">
        <v>288</v>
      </c>
      <c r="L409" s="47">
        <f>L394+L402+L408</f>
        <v>153145.00000000003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v>5500</v>
      </c>
      <c r="L423" s="56">
        <f t="shared" si="29"/>
        <v>5500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5500</v>
      </c>
      <c r="L428" s="47">
        <f t="shared" si="30"/>
        <v>5500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5500</v>
      </c>
      <c r="L435" s="47">
        <f t="shared" si="32"/>
        <v>5500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755660.07</v>
      </c>
      <c r="H441" s="18"/>
      <c r="I441" s="56">
        <f t="shared" si="33"/>
        <v>755660.07</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755660.07</v>
      </c>
      <c r="H447" s="13">
        <f>SUM(H440:H446)</f>
        <v>0</v>
      </c>
      <c r="I447" s="13">
        <f>SUM(I440:I446)</f>
        <v>755660.07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755660.07</v>
      </c>
      <c r="H460" s="18"/>
      <c r="I460" s="56">
        <f t="shared" si="34"/>
        <v>755660.07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755660.07</v>
      </c>
      <c r="H461" s="83">
        <f>SUM(H455:H460)</f>
        <v>0</v>
      </c>
      <c r="I461" s="83">
        <f>SUM(I455:I460)</f>
        <v>755660.07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755660.07</v>
      </c>
      <c r="H462" s="42">
        <f>H453+H461</f>
        <v>0</v>
      </c>
      <c r="I462" s="42">
        <f>I453+I461</f>
        <v>755660.07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670085.48</v>
      </c>
      <c r="G466" s="18">
        <v>9668.5300000000007</v>
      </c>
      <c r="H466" s="18">
        <v>0</v>
      </c>
      <c r="I466" s="18"/>
      <c r="J466" s="18">
        <v>608015.06999999995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27546449.350000001</v>
      </c>
      <c r="G469" s="18">
        <v>519305.61</v>
      </c>
      <c r="H469" s="18">
        <v>635247.59</v>
      </c>
      <c r="I469" s="18"/>
      <c r="J469" s="18">
        <v>153145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27546449.350000001</v>
      </c>
      <c r="G471" s="53">
        <f>SUM(G469:G470)</f>
        <v>519305.61</v>
      </c>
      <c r="H471" s="53">
        <f>SUM(H469:H470)</f>
        <v>635247.59</v>
      </c>
      <c r="I471" s="53">
        <f>SUM(I469:I470)</f>
        <v>0</v>
      </c>
      <c r="J471" s="53">
        <f>SUM(J469:J470)</f>
        <v>153145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26263452.47+512358.04+67.72</f>
        <v>26775878.229999997</v>
      </c>
      <c r="G473" s="18">
        <v>528974.14</v>
      </c>
      <c r="H473" s="18">
        <v>635247.59</v>
      </c>
      <c r="I473" s="18"/>
      <c r="J473" s="18">
        <v>5500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26775878.229999997</v>
      </c>
      <c r="G475" s="53">
        <f>SUM(G473:G474)</f>
        <v>528974.14</v>
      </c>
      <c r="H475" s="53">
        <f>SUM(H473:H474)</f>
        <v>635247.59</v>
      </c>
      <c r="I475" s="53">
        <f>SUM(I473:I474)</f>
        <v>0</v>
      </c>
      <c r="J475" s="53">
        <f>SUM(J473:J474)</f>
        <v>5500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1440656.6000000052</v>
      </c>
      <c r="G477" s="53">
        <f>(G466+G471)- G475</f>
        <v>0</v>
      </c>
      <c r="H477" s="53">
        <f>(H466+H471)- H475</f>
        <v>0</v>
      </c>
      <c r="I477" s="53">
        <f>(I466+I471)- I475</f>
        <v>0</v>
      </c>
      <c r="J477" s="53">
        <f>(J466+J471)- J475</f>
        <v>755660.07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25484800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4.54</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10415000</v>
      </c>
      <c r="G496" s="18"/>
      <c r="H496" s="18"/>
      <c r="I496" s="18"/>
      <c r="J496" s="18"/>
      <c r="K496" s="53">
        <f>SUM(F496:J496)</f>
        <v>10415000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1972696</v>
      </c>
      <c r="G498" s="18"/>
      <c r="H498" s="18"/>
      <c r="I498" s="18"/>
      <c r="J498" s="18"/>
      <c r="K498" s="53">
        <f t="shared" si="35"/>
        <v>1972696</v>
      </c>
      <c r="L498" s="24" t="s">
        <v>288</v>
      </c>
      <c r="N498" s="265"/>
    </row>
    <row r="499" spans="1:14" s="52" customFormat="1" ht="12.2" customHeight="1" x14ac:dyDescent="0.2">
      <c r="A499" s="200" t="s">
        <v>622</v>
      </c>
      <c r="B499" s="201">
        <v>20</v>
      </c>
      <c r="C499" s="202">
        <v>9</v>
      </c>
      <c r="D499" s="203" t="s">
        <v>432</v>
      </c>
      <c r="E499" s="202"/>
      <c r="F499" s="204">
        <v>8885000</v>
      </c>
      <c r="G499" s="204"/>
      <c r="H499" s="204"/>
      <c r="I499" s="204"/>
      <c r="J499" s="204"/>
      <c r="K499" s="205">
        <f t="shared" si="35"/>
        <v>8885000</v>
      </c>
      <c r="L499" s="206" t="s">
        <v>288</v>
      </c>
      <c r="N499" s="265"/>
    </row>
    <row r="500" spans="1:14" s="52" customFormat="1" ht="12.2" customHeight="1" thickBot="1" x14ac:dyDescent="0.25">
      <c r="A500" s="22" t="s">
        <v>623</v>
      </c>
      <c r="B500" s="75">
        <v>20</v>
      </c>
      <c r="C500" s="115">
        <v>10</v>
      </c>
      <c r="D500" s="2" t="s">
        <v>432</v>
      </c>
      <c r="E500" s="115"/>
      <c r="F500" s="18">
        <v>969557.75</v>
      </c>
      <c r="G500" s="18"/>
      <c r="H500" s="18"/>
      <c r="I500" s="18"/>
      <c r="J500" s="18"/>
      <c r="K500" s="53">
        <f t="shared" si="35"/>
        <v>969557.75</v>
      </c>
      <c r="L500" s="24" t="s">
        <v>288</v>
      </c>
      <c r="N500" s="265"/>
    </row>
    <row r="501" spans="1:14" s="52" customFormat="1" ht="12.2" customHeight="1" thickTop="1" x14ac:dyDescent="0.2">
      <c r="A501" s="139" t="s">
        <v>624</v>
      </c>
      <c r="B501" s="44">
        <v>20</v>
      </c>
      <c r="C501" s="195">
        <v>11</v>
      </c>
      <c r="D501" s="39" t="s">
        <v>432</v>
      </c>
      <c r="E501" s="195"/>
      <c r="F501" s="42">
        <f>SUM(F499:F500)</f>
        <v>9854557.75</v>
      </c>
      <c r="G501" s="42">
        <f>SUM(G499:G500)</f>
        <v>0</v>
      </c>
      <c r="H501" s="42">
        <f>SUM(H499:H500)</f>
        <v>0</v>
      </c>
      <c r="I501" s="42">
        <f>SUM(I499:I500)</f>
        <v>0</v>
      </c>
      <c r="J501" s="42">
        <f>SUM(J499:J500)</f>
        <v>0</v>
      </c>
      <c r="K501" s="42">
        <f t="shared" si="35"/>
        <v>9854557.75</v>
      </c>
      <c r="L501" s="45" t="s">
        <v>288</v>
      </c>
      <c r="N501" s="265"/>
    </row>
    <row r="502" spans="1:14" s="52" customFormat="1" ht="12.2" customHeight="1" x14ac:dyDescent="0.2">
      <c r="A502" s="200" t="s">
        <v>651</v>
      </c>
      <c r="B502" s="201">
        <v>20</v>
      </c>
      <c r="C502" s="202">
        <v>12</v>
      </c>
      <c r="D502" s="203" t="s">
        <v>432</v>
      </c>
      <c r="E502" s="202"/>
      <c r="F502" s="204">
        <v>1605000</v>
      </c>
      <c r="G502" s="204"/>
      <c r="H502" s="204"/>
      <c r="I502" s="204"/>
      <c r="J502" s="204"/>
      <c r="K502" s="205">
        <f t="shared" si="35"/>
        <v>1605000</v>
      </c>
      <c r="L502" s="206" t="s">
        <v>288</v>
      </c>
      <c r="N502" s="265"/>
    </row>
    <row r="503" spans="1:14" s="52" customFormat="1" ht="12.2" customHeight="1" thickBot="1" x14ac:dyDescent="0.25">
      <c r="A503" s="22" t="s">
        <v>625</v>
      </c>
      <c r="B503" s="75">
        <v>20</v>
      </c>
      <c r="C503" s="115">
        <v>13</v>
      </c>
      <c r="D503" s="2" t="s">
        <v>432</v>
      </c>
      <c r="E503" s="115"/>
      <c r="F503" s="18">
        <v>363931.75</v>
      </c>
      <c r="G503" s="18"/>
      <c r="H503" s="18"/>
      <c r="I503" s="18"/>
      <c r="J503" s="18"/>
      <c r="K503" s="53">
        <f t="shared" si="35"/>
        <v>363931.75</v>
      </c>
      <c r="L503" s="24" t="s">
        <v>288</v>
      </c>
      <c r="N503" s="265"/>
    </row>
    <row r="504" spans="1:14" s="52" customFormat="1" ht="12.2" customHeight="1" thickTop="1" x14ac:dyDescent="0.2">
      <c r="A504" s="139" t="s">
        <v>626</v>
      </c>
      <c r="B504" s="44">
        <v>20</v>
      </c>
      <c r="C504" s="195">
        <v>14</v>
      </c>
      <c r="D504" s="39" t="s">
        <v>432</v>
      </c>
      <c r="E504" s="195"/>
      <c r="F504" s="42">
        <f>SUM(F502:F503)</f>
        <v>1968931.75</v>
      </c>
      <c r="G504" s="42">
        <f>SUM(G502:G503)</f>
        <v>0</v>
      </c>
      <c r="H504" s="42">
        <f>SUM(H502:H503)</f>
        <v>0</v>
      </c>
      <c r="I504" s="42">
        <f>SUM(I502:I503)</f>
        <v>0</v>
      </c>
      <c r="J504" s="42">
        <f>SUM(J502:J503)</f>
        <v>0</v>
      </c>
      <c r="K504" s="42">
        <f t="shared" si="35"/>
        <v>1968931.75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f>906525+369570.45+54328.04</f>
        <v>1330423.49</v>
      </c>
      <c r="G524" s="18">
        <f>389004.6+207263.01+10722.92</f>
        <v>606990.53</v>
      </c>
      <c r="H524" s="18">
        <f>5431+5837.28-556.03+1623119.09+180283+1612.58</f>
        <v>1815726.9200000002</v>
      </c>
      <c r="I524" s="18">
        <f>1911.35+651.95+6156.6</f>
        <v>8719.9000000000015</v>
      </c>
      <c r="J524" s="18">
        <f>862+6697</f>
        <v>7559</v>
      </c>
      <c r="K524" s="18">
        <v>2741.3</v>
      </c>
      <c r="L524" s="88">
        <f>SUM(F524:K524)</f>
        <v>3772161.14</v>
      </c>
      <c r="N524" s="265"/>
    </row>
    <row r="525" spans="1:14" s="52" customFormat="1" ht="12.2" customHeight="1" thickTop="1" x14ac:dyDescent="0.2">
      <c r="A525" s="139" t="s">
        <v>63</v>
      </c>
      <c r="B525" s="107">
        <v>21</v>
      </c>
      <c r="C525" s="195">
        <v>4</v>
      </c>
      <c r="D525" s="196" t="s">
        <v>432</v>
      </c>
      <c r="E525" s="195"/>
      <c r="F525" s="108">
        <f>SUM(F522:F524)</f>
        <v>1330423.49</v>
      </c>
      <c r="G525" s="108">
        <f t="shared" ref="G525:L525" si="36">SUM(G522:G524)</f>
        <v>606990.53</v>
      </c>
      <c r="H525" s="108">
        <f t="shared" si="36"/>
        <v>1815726.9200000002</v>
      </c>
      <c r="I525" s="108">
        <f t="shared" si="36"/>
        <v>8719.9000000000015</v>
      </c>
      <c r="J525" s="108">
        <f t="shared" si="36"/>
        <v>7559</v>
      </c>
      <c r="K525" s="108">
        <f t="shared" si="36"/>
        <v>2741.3</v>
      </c>
      <c r="L525" s="89">
        <f t="shared" si="36"/>
        <v>3772161.14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f>337982.72+3275.9</f>
        <v>341258.62</v>
      </c>
      <c r="G529" s="18">
        <v>162784.44</v>
      </c>
      <c r="H529" s="18">
        <v>71768.25</v>
      </c>
      <c r="I529" s="18"/>
      <c r="J529" s="18"/>
      <c r="K529" s="18"/>
      <c r="L529" s="88">
        <f>SUM(F529:K529)</f>
        <v>575811.31000000006</v>
      </c>
      <c r="M529" s="8"/>
      <c r="N529" s="266"/>
    </row>
    <row r="530" spans="1:14" s="3" customFormat="1" ht="12.2" customHeight="1" thickTop="1" x14ac:dyDescent="0.15">
      <c r="A530" s="139" t="s">
        <v>65</v>
      </c>
      <c r="B530" s="107">
        <v>21</v>
      </c>
      <c r="C530" s="107">
        <v>8</v>
      </c>
      <c r="D530" s="158" t="s">
        <v>432</v>
      </c>
      <c r="E530" s="107"/>
      <c r="F530" s="89">
        <f>SUM(F527:F529)</f>
        <v>341258.62</v>
      </c>
      <c r="G530" s="89">
        <f t="shared" ref="G530:L530" si="37">SUM(G527:G529)</f>
        <v>162784.44</v>
      </c>
      <c r="H530" s="89">
        <f t="shared" si="37"/>
        <v>71768.25</v>
      </c>
      <c r="I530" s="89">
        <f t="shared" si="37"/>
        <v>0</v>
      </c>
      <c r="J530" s="89">
        <f t="shared" si="37"/>
        <v>0</v>
      </c>
      <c r="K530" s="89">
        <f t="shared" si="37"/>
        <v>0</v>
      </c>
      <c r="L530" s="89">
        <f t="shared" si="37"/>
        <v>575811.31000000006</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f>92129+53009.34</f>
        <v>145138.34</v>
      </c>
      <c r="G534" s="18">
        <f>34540.06+42294.25</f>
        <v>76834.31</v>
      </c>
      <c r="H534" s="18">
        <v>2264.84</v>
      </c>
      <c r="I534" s="18"/>
      <c r="J534" s="18"/>
      <c r="K534" s="18">
        <f>830+2652.13+148.57+2310.12</f>
        <v>5940.82</v>
      </c>
      <c r="L534" s="88">
        <f>SUM(F534:K534)</f>
        <v>230178.31</v>
      </c>
      <c r="M534" s="8"/>
      <c r="N534" s="266"/>
    </row>
    <row r="535" spans="1:14" s="3" customFormat="1" ht="12.2" customHeight="1" thickTop="1" x14ac:dyDescent="0.15">
      <c r="A535" s="139" t="s">
        <v>67</v>
      </c>
      <c r="B535" s="107">
        <v>21</v>
      </c>
      <c r="C535" s="107">
        <v>12</v>
      </c>
      <c r="D535" s="158" t="s">
        <v>432</v>
      </c>
      <c r="E535" s="107"/>
      <c r="F535" s="89">
        <f>SUM(F532:F534)</f>
        <v>145138.34</v>
      </c>
      <c r="G535" s="89">
        <f t="shared" ref="G535:L535" si="38">SUM(G532:G534)</f>
        <v>76834.31</v>
      </c>
      <c r="H535" s="89">
        <f t="shared" si="38"/>
        <v>2264.84</v>
      </c>
      <c r="I535" s="89">
        <f t="shared" si="38"/>
        <v>0</v>
      </c>
      <c r="J535" s="89">
        <f t="shared" si="38"/>
        <v>0</v>
      </c>
      <c r="K535" s="89">
        <f t="shared" si="38"/>
        <v>5940.82</v>
      </c>
      <c r="L535" s="89">
        <f t="shared" si="38"/>
        <v>230178.31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v>19662.37</v>
      </c>
      <c r="I539" s="18"/>
      <c r="J539" s="18"/>
      <c r="K539" s="18"/>
      <c r="L539" s="88">
        <f>SUM(F539:K539)</f>
        <v>19662.37</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19662.37</v>
      </c>
      <c r="I540" s="89">
        <f t="shared" si="39"/>
        <v>0</v>
      </c>
      <c r="J540" s="89">
        <f t="shared" si="39"/>
        <v>0</v>
      </c>
      <c r="K540" s="89">
        <f t="shared" si="39"/>
        <v>0</v>
      </c>
      <c r="L540" s="89">
        <f t="shared" si="39"/>
        <v>19662.37</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158121.56</v>
      </c>
      <c r="I544" s="18"/>
      <c r="J544" s="18"/>
      <c r="K544" s="18"/>
      <c r="L544" s="88">
        <f>SUM(F544:K544)</f>
        <v>158121.56</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158121.56</v>
      </c>
      <c r="I545" s="193">
        <f t="shared" si="40"/>
        <v>0</v>
      </c>
      <c r="J545" s="193">
        <f t="shared" si="40"/>
        <v>0</v>
      </c>
      <c r="K545" s="193">
        <f t="shared" si="40"/>
        <v>0</v>
      </c>
      <c r="L545" s="193">
        <f t="shared" si="40"/>
        <v>158121.56</v>
      </c>
      <c r="M545" s="8"/>
      <c r="N545" s="266"/>
    </row>
    <row r="546" spans="1:14" s="3" customFormat="1" ht="12.2" customHeight="1" thickTop="1" x14ac:dyDescent="0.15">
      <c r="A546" s="98" t="s">
        <v>72</v>
      </c>
      <c r="B546" s="107">
        <v>21</v>
      </c>
      <c r="C546" s="107">
        <v>21</v>
      </c>
      <c r="D546" s="158" t="s">
        <v>432</v>
      </c>
      <c r="E546" s="107"/>
      <c r="F546" s="89">
        <f>F525+F530+F535+F540+F545</f>
        <v>1816820.45</v>
      </c>
      <c r="G546" s="89">
        <f t="shared" ref="G546:L546" si="41">G525+G530+G535+G540+G545</f>
        <v>846609.28</v>
      </c>
      <c r="H546" s="89">
        <f t="shared" si="41"/>
        <v>2067543.9400000004</v>
      </c>
      <c r="I546" s="89">
        <f t="shared" si="41"/>
        <v>8719.9000000000015</v>
      </c>
      <c r="J546" s="89">
        <f t="shared" si="41"/>
        <v>7559</v>
      </c>
      <c r="K546" s="89">
        <f t="shared" si="41"/>
        <v>8682.119999999999</v>
      </c>
      <c r="L546" s="89">
        <f t="shared" si="41"/>
        <v>4755934.6899999995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3772161.14</v>
      </c>
      <c r="G552" s="87">
        <f>L529</f>
        <v>575811.31000000006</v>
      </c>
      <c r="H552" s="87">
        <f>L534</f>
        <v>230178.31</v>
      </c>
      <c r="I552" s="87">
        <f>L539</f>
        <v>19662.37</v>
      </c>
      <c r="J552" s="87">
        <f>L544</f>
        <v>158121.56</v>
      </c>
      <c r="K552" s="87">
        <f>SUM(F552:J552)</f>
        <v>4755934.6899999995</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3772161.14</v>
      </c>
      <c r="G553" s="89">
        <f t="shared" si="42"/>
        <v>575811.31000000006</v>
      </c>
      <c r="H553" s="89">
        <f t="shared" si="42"/>
        <v>230178.31</v>
      </c>
      <c r="I553" s="89">
        <f t="shared" si="42"/>
        <v>19662.37</v>
      </c>
      <c r="J553" s="89">
        <f t="shared" si="42"/>
        <v>158121.56</v>
      </c>
      <c r="K553" s="89">
        <f t="shared" si="42"/>
        <v>4755934.6899999995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69711</v>
      </c>
      <c r="I580" s="87">
        <f t="shared" si="47"/>
        <v>69711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v>433486.87</v>
      </c>
      <c r="I583" s="87">
        <f t="shared" si="47"/>
        <v>433486.87</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v>1119921.22</v>
      </c>
      <c r="I584" s="87">
        <f t="shared" si="47"/>
        <v>1119921.22</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172494</v>
      </c>
      <c r="I585" s="87">
        <f t="shared" si="47"/>
        <v>172494</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c r="I592" s="18"/>
      <c r="J592" s="18">
        <v>440810.37</v>
      </c>
      <c r="K592" s="104">
        <f t="shared" ref="K592:K598" si="48">SUM(H592:J592)</f>
        <v>440810.37</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v>158121.56</v>
      </c>
      <c r="K593" s="104">
        <f t="shared" si="48"/>
        <v>158121.56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48978.93</v>
      </c>
      <c r="K594" s="104">
        <f t="shared" si="48"/>
        <v>48978.93</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v>90554.84</v>
      </c>
      <c r="K595" s="104">
        <f t="shared" si="48"/>
        <v>90554.84</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v>6562.48</v>
      </c>
      <c r="K596" s="104">
        <f t="shared" si="48"/>
        <v>6562.48</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v>44975.66</v>
      </c>
      <c r="K598" s="104">
        <f t="shared" si="48"/>
        <v>44975.66</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0</v>
      </c>
      <c r="J599" s="108">
        <f>SUM(J592:J598)</f>
        <v>790003.84</v>
      </c>
      <c r="K599" s="108">
        <f>SUM(K592:K598)</f>
        <v>790003.84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v>66456.95</v>
      </c>
      <c r="K604" s="104">
        <f>SUM(H604:J604)</f>
        <v>66456.95</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f>7031.99+370305.28</f>
        <v>377337.27</v>
      </c>
      <c r="K605" s="104">
        <f>SUM(H605:J605)</f>
        <v>377337.27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443794.22000000003</v>
      </c>
      <c r="K606" s="108">
        <f>SUM(K603:K605)</f>
        <v>443794.22000000003</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v>58800</v>
      </c>
      <c r="G614" s="18"/>
      <c r="H614" s="18"/>
      <c r="I614" s="18">
        <v>6471.93</v>
      </c>
      <c r="J614" s="18"/>
      <c r="K614" s="18"/>
      <c r="L614" s="88">
        <f>SUM(F614:K614)</f>
        <v>65271.93</v>
      </c>
      <c r="M614" s="8"/>
      <c r="N614" s="266"/>
    </row>
    <row r="615" spans="1:14" s="3" customFormat="1" ht="12.2" customHeight="1" thickTop="1" x14ac:dyDescent="0.15">
      <c r="A615" s="98" t="s">
        <v>340</v>
      </c>
      <c r="B615" s="107">
        <v>23</v>
      </c>
      <c r="C615" s="107">
        <v>16</v>
      </c>
      <c r="D615" s="39" t="s">
        <v>432</v>
      </c>
      <c r="E615" s="107"/>
      <c r="F615" s="108">
        <f t="shared" ref="F615:L615" si="49">SUM(F612:F614)</f>
        <v>58800</v>
      </c>
      <c r="G615" s="108">
        <f t="shared" si="49"/>
        <v>0</v>
      </c>
      <c r="H615" s="108">
        <f t="shared" si="49"/>
        <v>0</v>
      </c>
      <c r="I615" s="108">
        <f t="shared" si="49"/>
        <v>6471.93</v>
      </c>
      <c r="J615" s="108">
        <f t="shared" si="49"/>
        <v>0</v>
      </c>
      <c r="K615" s="108">
        <f t="shared" si="49"/>
        <v>0</v>
      </c>
      <c r="L615" s="89">
        <f t="shared" si="49"/>
        <v>65271.93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1664719.81</v>
      </c>
      <c r="H618" s="109">
        <f>SUM(F52)</f>
        <v>1664719.81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26964.9</v>
      </c>
      <c r="H619" s="109">
        <f>SUM(G52)</f>
        <v>26964.899999999998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104201.85</v>
      </c>
      <c r="H620" s="109">
        <f>SUM(H52)</f>
        <v>104201.85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755660.07</v>
      </c>
      <c r="H622" s="109">
        <f>SUM(J52)</f>
        <v>755660.07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1440656.6</v>
      </c>
      <c r="H623" s="109">
        <f>F477</f>
        <v>1440656.6000000052</v>
      </c>
      <c r="I623" s="121" t="s">
        <v>101</v>
      </c>
      <c r="J623" s="109">
        <f t="shared" ref="J623:J656" si="50">G623-H623</f>
        <v>-5.1222741603851318E-9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755660.07</v>
      </c>
      <c r="H627" s="109">
        <f>J477</f>
        <v>755660.07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27546449.349999998</v>
      </c>
      <c r="H628" s="104">
        <f>SUM(F469)</f>
        <v>27546449.350000001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519305.6100000001</v>
      </c>
      <c r="H629" s="104">
        <f>SUM(G469)</f>
        <v>519305.61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635247.59000000008</v>
      </c>
      <c r="H630" s="104">
        <f>SUM(H469)</f>
        <v>635247.59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153145</v>
      </c>
      <c r="H632" s="104">
        <f>SUM(J469)</f>
        <v>153145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26775878.229999997</v>
      </c>
      <c r="H633" s="104">
        <f>SUM(F473)</f>
        <v>26775878.229999997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635247.59</v>
      </c>
      <c r="H634" s="104">
        <f>SUM(H473)</f>
        <v>635247.59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236545.69</v>
      </c>
      <c r="H635" s="104">
        <f>I370</f>
        <v>236545.69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528974.14</v>
      </c>
      <c r="H636" s="104">
        <f>SUM(G473)</f>
        <v>528974.14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153145.00000000003</v>
      </c>
      <c r="H638" s="164">
        <f>SUM(J469)</f>
        <v>153145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5500</v>
      </c>
      <c r="H639" s="164">
        <f>SUM(J473)</f>
        <v>5500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755660.07</v>
      </c>
      <c r="H641" s="104">
        <f>SUM(G462)</f>
        <v>755660.07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755660.07</v>
      </c>
      <c r="H643" s="104">
        <f>SUM(I462)</f>
        <v>755660.07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28145</v>
      </c>
      <c r="H645" s="104">
        <f>H409</f>
        <v>28145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125000</v>
      </c>
      <c r="H646" s="104">
        <f>G409</f>
        <v>125000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153145</v>
      </c>
      <c r="H647" s="104">
        <f>L409</f>
        <v>153145.00000000003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790003.84</v>
      </c>
      <c r="H648" s="104">
        <f>L209+L227+L245</f>
        <v>790003.84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443794.22000000003</v>
      </c>
      <c r="H649" s="104">
        <f>(J258+J339)-(J256+J337)</f>
        <v>443794.22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790003.84</v>
      </c>
      <c r="H652" s="104">
        <f>J599</f>
        <v>790003.84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55153</v>
      </c>
      <c r="H653" s="104">
        <f>K264+K346</f>
        <v>55153</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125000</v>
      </c>
      <c r="H656" s="104">
        <f>K267+K348</f>
        <v>125000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0</v>
      </c>
      <c r="G661" s="19">
        <f>(L230+L310+L360)</f>
        <v>0</v>
      </c>
      <c r="H661" s="19">
        <f>(L248+L329+L361)</f>
        <v>25113192.599999998</v>
      </c>
      <c r="I661" s="19">
        <f>SUM(F661:H661)</f>
        <v>25113192.599999998</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325820.73000000004</v>
      </c>
      <c r="I662" s="19">
        <f>SUM(F662:H662)</f>
        <v>325820.73000000004</v>
      </c>
      <c r="J662"/>
      <c r="K662" s="13"/>
      <c r="L662" s="13"/>
      <c r="M662" s="8"/>
    </row>
    <row r="663" spans="1:13" s="3" customFormat="1" ht="12.2" customHeight="1" x14ac:dyDescent="0.2">
      <c r="A663" s="1" t="s">
        <v>128</v>
      </c>
      <c r="F663" s="19">
        <f>(L209+L288)-(J209+J288)</f>
        <v>0</v>
      </c>
      <c r="G663" s="19">
        <f>(L227+L307)-(J227+J307)</f>
        <v>0</v>
      </c>
      <c r="H663" s="19">
        <f>(L245+L326)-(J245+J326)</f>
        <v>790003.84</v>
      </c>
      <c r="I663" s="19">
        <f>SUM(F663:H663)</f>
        <v>790003.84</v>
      </c>
      <c r="J663"/>
      <c r="K663" s="13"/>
      <c r="L663" s="13"/>
      <c r="M663" s="9"/>
    </row>
    <row r="664" spans="1:13" s="3" customFormat="1" ht="12.2" customHeight="1" x14ac:dyDescent="0.15">
      <c r="A664" s="198" t="s">
        <v>129</v>
      </c>
      <c r="B664" s="169"/>
      <c r="C664" s="169"/>
      <c r="D664" s="169"/>
      <c r="E664" s="169"/>
      <c r="F664" s="199">
        <f>SUM(F576:F588)+SUM(H603:H605)+SUM(L612)</f>
        <v>0</v>
      </c>
      <c r="G664" s="199">
        <f>SUM(G576:G588)+SUM(I603:I605)+L613</f>
        <v>0</v>
      </c>
      <c r="H664" s="199">
        <f>SUM(H576:H588)+SUM(J603:J605)+L614</f>
        <v>2304679.2400000002</v>
      </c>
      <c r="I664" s="19">
        <f>SUM(F664:H664)</f>
        <v>2304679.2400000002</v>
      </c>
      <c r="J664" s="13"/>
      <c r="K664" s="13"/>
      <c r="L664" s="13"/>
      <c r="M664" s="9"/>
    </row>
    <row r="665" spans="1:13" s="3" customFormat="1" ht="12.2" customHeight="1" x14ac:dyDescent="0.15">
      <c r="A665" s="1" t="s">
        <v>130</v>
      </c>
      <c r="F665" s="19">
        <f>F661-SUM(F662:F664)</f>
        <v>0</v>
      </c>
      <c r="G665" s="19">
        <f>G661-SUM(G662:G664)</f>
        <v>0</v>
      </c>
      <c r="H665" s="19">
        <f>H661-SUM(H662:H664)</f>
        <v>21692688.789999999</v>
      </c>
      <c r="I665" s="19">
        <f>I661-SUM(I662:I664)</f>
        <v>21692688.789999999</v>
      </c>
      <c r="J665" s="13"/>
      <c r="K665" s="13"/>
      <c r="L665" s="13"/>
      <c r="M665" s="8"/>
    </row>
    <row r="666" spans="1:13" s="3" customFormat="1" ht="12.2" customHeight="1" x14ac:dyDescent="0.2">
      <c r="A666" s="1" t="s">
        <v>131</v>
      </c>
      <c r="F666" s="246"/>
      <c r="G666" s="247"/>
      <c r="H666" s="247">
        <v>1035.32</v>
      </c>
      <c r="I666" s="19">
        <f>SUM(F666:H666)</f>
        <v>1035.32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f>ROUND(H665/H666,2)</f>
        <v>20952.64</v>
      </c>
      <c r="I668" s="19">
        <f>ROUND(I665/I666,2)</f>
        <v>20952.64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-23.06</v>
      </c>
      <c r="I671" s="19">
        <f>SUM(F671:H671)</f>
        <v>-23.06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f>ROUND((H665+H670)/(H666+H671),2)</f>
        <v>21429.96</v>
      </c>
      <c r="I673" s="19">
        <f>ROUND((I665+I670)/(I666+I671),2)</f>
        <v>21429.96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WINNACUNNET</v>
      </c>
      <c r="C5" s="344"/>
      <c r="D5" s="344"/>
      <c r="E5" s="344"/>
      <c r="F5" s="344"/>
    </row>
    <row r="8" spans="1:9" ht="18" x14ac:dyDescent="0.25">
      <c r="A8" s="323" t="s">
        <v>1591</v>
      </c>
      <c r="F8" s="330" t="s">
        <v>1609</v>
      </c>
    </row>
    <row r="9" spans="1:9" ht="15" x14ac:dyDescent="0.2">
      <c r="A9" s="321" t="s">
        <v>1592</v>
      </c>
      <c r="B9" s="324">
        <f>'DOE25'!G97</f>
        <v>324820.73000000004</v>
      </c>
      <c r="F9" s="321" t="s">
        <v>1605</v>
      </c>
    </row>
    <row r="10" spans="1:9" ht="15" x14ac:dyDescent="0.2">
      <c r="A10" s="321" t="s">
        <v>1593</v>
      </c>
      <c r="B10" s="324">
        <f>'DOE25'!G112-'DOE25'!G97</f>
        <v>1000</v>
      </c>
      <c r="F10" s="321" t="s">
        <v>1606</v>
      </c>
    </row>
    <row r="11" spans="1:9" ht="15" x14ac:dyDescent="0.2">
      <c r="A11" s="321" t="s">
        <v>1594</v>
      </c>
      <c r="B11" s="324">
        <f>'DOE25'!G140</f>
        <v>4407.46</v>
      </c>
      <c r="F11" s="321" t="s">
        <v>1607</v>
      </c>
    </row>
    <row r="12" spans="1:9" ht="15" x14ac:dyDescent="0.2">
      <c r="A12" s="321" t="s">
        <v>1595</v>
      </c>
      <c r="B12" s="324">
        <f>'DOE25'!G170</f>
        <v>133924.42000000001</v>
      </c>
      <c r="F12" s="321" t="s">
        <v>1608</v>
      </c>
    </row>
    <row r="13" spans="1:9" ht="15" x14ac:dyDescent="0.2">
      <c r="A13" s="321" t="s">
        <v>1596</v>
      </c>
      <c r="B13" s="324">
        <f>'DOE25'!G193-'DOE25'!G180</f>
        <v>0</v>
      </c>
      <c r="F13" s="321" t="s">
        <v>1618</v>
      </c>
    </row>
    <row r="14" spans="1:9" ht="18" x14ac:dyDescent="0.25">
      <c r="A14" s="323" t="s">
        <v>732</v>
      </c>
      <c r="B14" s="325">
        <f>SUM(B9:B13)</f>
        <v>464152.6100000001</v>
      </c>
    </row>
    <row r="16" spans="1:9" ht="18" x14ac:dyDescent="0.25">
      <c r="A16" s="323" t="s">
        <v>786</v>
      </c>
      <c r="F16" s="330" t="s">
        <v>1610</v>
      </c>
    </row>
    <row r="17" spans="1:6" ht="15" x14ac:dyDescent="0.2">
      <c r="A17" s="321" t="s">
        <v>1597</v>
      </c>
      <c r="B17" s="324">
        <f>'DOE25'!L363-'DOE25'!L362</f>
        <v>528974.14</v>
      </c>
      <c r="F17" s="321" t="s">
        <v>1611</v>
      </c>
    </row>
    <row r="18" spans="1:6" ht="15" x14ac:dyDescent="0.2">
      <c r="A18" s="321" t="s">
        <v>1598</v>
      </c>
      <c r="B18" s="338"/>
      <c r="F18" s="330" t="s">
        <v>1637</v>
      </c>
    </row>
    <row r="19" spans="1:6" ht="18" x14ac:dyDescent="0.25">
      <c r="A19" s="323" t="s">
        <v>725</v>
      </c>
      <c r="B19" s="325">
        <f>SUM(B17:B18)</f>
        <v>528974.14</v>
      </c>
    </row>
    <row r="21" spans="1:6" ht="18.75" thickBot="1" x14ac:dyDescent="0.3">
      <c r="A21" s="323" t="s">
        <v>1599</v>
      </c>
    </row>
    <row r="22" spans="1:6" ht="18.75" thickTop="1" x14ac:dyDescent="0.25">
      <c r="A22" s="323" t="s">
        <v>1600</v>
      </c>
      <c r="B22" s="329">
        <f>B14-B19</f>
        <v>-64821.529999999912</v>
      </c>
      <c r="F22" s="321" t="s">
        <v>1612</v>
      </c>
    </row>
    <row r="26" spans="1:6" ht="18" x14ac:dyDescent="0.25">
      <c r="A26" s="323" t="s">
        <v>186</v>
      </c>
    </row>
    <row r="27" spans="1:6" ht="15" x14ac:dyDescent="0.2">
      <c r="A27" s="321" t="s">
        <v>1601</v>
      </c>
      <c r="B27" s="324">
        <f>'DOE25'!G180</f>
        <v>55153</v>
      </c>
      <c r="F27" s="321" t="s">
        <v>1613</v>
      </c>
    </row>
    <row r="28" spans="1:6" ht="15" x14ac:dyDescent="0.2">
      <c r="A28" s="321" t="s">
        <v>1603</v>
      </c>
      <c r="B28" s="324">
        <f>'DOE25'!L362</f>
        <v>0</v>
      </c>
      <c r="F28" s="321" t="s">
        <v>1614</v>
      </c>
    </row>
    <row r="31" spans="1:6" ht="15" x14ac:dyDescent="0.2">
      <c r="A31" s="321" t="s">
        <v>1640</v>
      </c>
      <c r="B31" s="324">
        <f>'DOE25'!G466</f>
        <v>9668.5300000000007</v>
      </c>
      <c r="F31" s="321" t="s">
        <v>1615</v>
      </c>
    </row>
    <row r="33" spans="1:6" ht="15" x14ac:dyDescent="0.2">
      <c r="A33" s="321" t="s">
        <v>1641</v>
      </c>
      <c r="B33" s="324">
        <f>'DOE25'!G477</f>
        <v>0</v>
      </c>
      <c r="F33" s="321" t="s">
        <v>1616</v>
      </c>
    </row>
    <row r="36" spans="1:6" ht="15" x14ac:dyDescent="0.2">
      <c r="A36" s="321" t="s">
        <v>1602</v>
      </c>
      <c r="B36" s="339">
        <v>26985.48</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WINNACUNNET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6863592.5899999999</v>
      </c>
      <c r="C9" s="229">
        <f>'DOE25'!G198+'DOE25'!G216+'DOE25'!G234+'DOE25'!G277+'DOE25'!G296+'DOE25'!G315</f>
        <v>3262676.25</v>
      </c>
    </row>
    <row r="10" spans="1:3" x14ac:dyDescent="0.2">
      <c r="A10" t="s">
        <v>775</v>
      </c>
      <c r="B10" s="240">
        <f>124800+6205976.02</f>
        <v>6330776.0199999996</v>
      </c>
      <c r="C10" s="240">
        <f>37210.4+3147997.77-0.01</f>
        <v>3185208.16</v>
      </c>
    </row>
    <row r="11" spans="1:3" x14ac:dyDescent="0.2">
      <c r="A11" t="s">
        <v>776</v>
      </c>
      <c r="B11" s="240">
        <f>52740</f>
        <v>52740</v>
      </c>
      <c r="C11" s="240">
        <f>10431.97</f>
        <v>10431.969999999999</v>
      </c>
    </row>
    <row r="12" spans="1:3" x14ac:dyDescent="0.2">
      <c r="A12" t="s">
        <v>777</v>
      </c>
      <c r="B12" s="240">
        <f>192611.86+43745.6+17473.01+226246.1</f>
        <v>480076.57</v>
      </c>
      <c r="C12" s="240">
        <f>38286.63+8652.88+1499.18+18597.43</f>
        <v>67036.12</v>
      </c>
    </row>
    <row r="13" spans="1:3" x14ac:dyDescent="0.2">
      <c r="A13" t="str">
        <f>IF(B9=B13,IF(C9=C13,"Check Total OK","Check Total Error"),"Check Total Error")</f>
        <v>Check Total OK</v>
      </c>
      <c r="B13" s="231">
        <f>SUM(B10:B12)</f>
        <v>6863592.5899999999</v>
      </c>
      <c r="C13" s="231">
        <f>SUM(C10:C12)</f>
        <v>3262676.2500000005</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1816820.45</v>
      </c>
      <c r="C18" s="229">
        <f>'DOE25'!G199+'DOE25'!G217+'DOE25'!G235+'DOE25'!G278+'DOE25'!G297+'DOE25'!G316</f>
        <v>846609.27</v>
      </c>
    </row>
    <row r="19" spans="1:3" x14ac:dyDescent="0.2">
      <c r="A19" t="s">
        <v>775</v>
      </c>
      <c r="B19" s="240">
        <f>7585+906525</f>
        <v>914110</v>
      </c>
      <c r="C19" s="240">
        <f>580.26+389004.6</f>
        <v>389584.86</v>
      </c>
    </row>
    <row r="20" spans="1:3" x14ac:dyDescent="0.2">
      <c r="A20" t="s">
        <v>776</v>
      </c>
      <c r="B20" s="240">
        <f>46743.04+369570.45+3275.9</f>
        <v>419589.39</v>
      </c>
      <c r="C20" s="240">
        <f>10142.66+207263.01</f>
        <v>217405.67</v>
      </c>
    </row>
    <row r="21" spans="1:3" x14ac:dyDescent="0.2">
      <c r="A21" t="s">
        <v>777</v>
      </c>
      <c r="B21" s="240">
        <f>92129+337982.72+53009.34</f>
        <v>483121.05999999994</v>
      </c>
      <c r="C21" s="240">
        <f>34540.06+42294.25+162784.44-0.01</f>
        <v>239618.74</v>
      </c>
    </row>
    <row r="22" spans="1:3" x14ac:dyDescent="0.2">
      <c r="A22" t="str">
        <f>IF(B18=B22,IF(C18=C22,"Check Total OK","Check Total Error"),"Check Total Error")</f>
        <v>Check Total OK</v>
      </c>
      <c r="B22" s="231">
        <f>SUM(B19:B21)</f>
        <v>1816820.4500000002</v>
      </c>
      <c r="C22" s="231">
        <f>SUM(C19:C21)</f>
        <v>846609.27</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454976.03</v>
      </c>
      <c r="C36" s="235">
        <f>'DOE25'!G201+'DOE25'!G219+'DOE25'!G237+'DOE25'!G280+'DOE25'!G299+'DOE25'!G318</f>
        <v>116807</v>
      </c>
    </row>
    <row r="37" spans="1:3" x14ac:dyDescent="0.2">
      <c r="A37" t="s">
        <v>775</v>
      </c>
      <c r="B37" s="240">
        <v>58800</v>
      </c>
      <c r="C37" s="240">
        <v>4509.96</v>
      </c>
    </row>
    <row r="38" spans="1:3" x14ac:dyDescent="0.2">
      <c r="A38" t="s">
        <v>776</v>
      </c>
      <c r="B38" s="240"/>
      <c r="C38" s="240"/>
    </row>
    <row r="39" spans="1:3" x14ac:dyDescent="0.2">
      <c r="A39" t="s">
        <v>777</v>
      </c>
      <c r="B39" s="240">
        <v>396176.03</v>
      </c>
      <c r="C39" s="240">
        <f>36102.95+8364.94+67829.15</f>
        <v>112297.04</v>
      </c>
    </row>
    <row r="40" spans="1:3" x14ac:dyDescent="0.2">
      <c r="A40" t="str">
        <f>IF(B36=B40,IF(C36=C40,"Check Total OK","Check Total Error"),"Check Total Error")</f>
        <v>Check Total OK</v>
      </c>
      <c r="B40" s="231">
        <f>SUM(B37:B39)</f>
        <v>454976.03</v>
      </c>
      <c r="C40" s="231">
        <f>SUM(C37:C39)</f>
        <v>116807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WINNACUNNET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15515648.300000001</v>
      </c>
      <c r="D5" s="20">
        <f>SUM('DOE25'!L198:L201)+SUM('DOE25'!L216:L219)+SUM('DOE25'!L234:L237)-F5-G5-H5</f>
        <v>15392998.890000001</v>
      </c>
      <c r="E5" s="243"/>
      <c r="F5" s="244">
        <v>0</v>
      </c>
      <c r="G5" s="53">
        <f>SUM('DOE25'!J198:J201)+SUM('DOE25'!J216:J219)+SUM('DOE25'!J234:J237)</f>
        <v>86598.16</v>
      </c>
      <c r="H5" s="53">
        <f>SUM('DOE25'!K198:K201)+SUM('DOE25'!K216:K219)+SUM('DOE25'!K234:K237)</f>
        <v>36051.25</v>
      </c>
      <c r="I5" s="256"/>
    </row>
    <row r="6" spans="1:9" x14ac:dyDescent="0.2">
      <c r="A6" s="32">
        <v>2100</v>
      </c>
      <c r="B6" t="s">
        <v>796</v>
      </c>
      <c r="C6" s="276">
        <f t="shared" si="0"/>
        <v>1442928.17</v>
      </c>
      <c r="D6" s="20">
        <f>'DOE25'!L203+'DOE25'!L221+'DOE25'!L239-F6-G6-H6</f>
        <v>1397569.17</v>
      </c>
      <c r="E6" s="243"/>
      <c r="F6" s="244">
        <v>45000</v>
      </c>
      <c r="G6" s="53">
        <f>'DOE25'!J203+'DOE25'!J221+'DOE25'!J239</f>
        <v>0</v>
      </c>
      <c r="H6" s="53">
        <f>'DOE25'!K203+'DOE25'!K221+'DOE25'!K239</f>
        <v>359</v>
      </c>
      <c r="I6" s="256"/>
    </row>
    <row r="7" spans="1:9" x14ac:dyDescent="0.2">
      <c r="A7" s="32">
        <v>2200</v>
      </c>
      <c r="B7" t="s">
        <v>821</v>
      </c>
      <c r="C7" s="276">
        <f t="shared" si="0"/>
        <v>1678789.8100000003</v>
      </c>
      <c r="D7" s="20">
        <f>'DOE25'!L204+'DOE25'!L222+'DOE25'!L240-F7-G7-H7</f>
        <v>1425045.2000000002</v>
      </c>
      <c r="E7" s="243"/>
      <c r="F7" s="244">
        <v>36553</v>
      </c>
      <c r="G7" s="53">
        <f>'DOE25'!J204+'DOE25'!J222+'DOE25'!J240</f>
        <v>217191.61000000002</v>
      </c>
      <c r="H7" s="53">
        <f>'DOE25'!K204+'DOE25'!K222+'DOE25'!K240</f>
        <v>0</v>
      </c>
      <c r="I7" s="256"/>
    </row>
    <row r="8" spans="1:9" x14ac:dyDescent="0.2">
      <c r="A8" s="32">
        <v>2300</v>
      </c>
      <c r="B8" t="s">
        <v>797</v>
      </c>
      <c r="C8" s="276">
        <f t="shared" si="0"/>
        <v>633559.57000000007</v>
      </c>
      <c r="D8" s="243"/>
      <c r="E8" s="20">
        <f>'DOE25'!L205+'DOE25'!L223+'DOE25'!L241-F8-G8-H8-D9-D11</f>
        <v>627374.77</v>
      </c>
      <c r="F8" s="244">
        <v>0</v>
      </c>
      <c r="G8" s="53">
        <f>'DOE25'!J205+'DOE25'!J223+'DOE25'!J241</f>
        <v>0</v>
      </c>
      <c r="H8" s="53">
        <f>'DOE25'!K205+'DOE25'!K223+'DOE25'!K241</f>
        <v>6184.8</v>
      </c>
      <c r="I8" s="256"/>
    </row>
    <row r="9" spans="1:9" ht="14.25" x14ac:dyDescent="0.2">
      <c r="A9" s="32">
        <v>2310</v>
      </c>
      <c r="B9" s="185" t="s">
        <v>890</v>
      </c>
      <c r="C9" s="276">
        <f t="shared" si="0"/>
        <v>68353.25</v>
      </c>
      <c r="D9" s="244">
        <v>68353.25</v>
      </c>
      <c r="E9" s="243"/>
      <c r="F9" s="253"/>
      <c r="G9" s="253"/>
      <c r="H9" s="253"/>
      <c r="I9" s="256"/>
    </row>
    <row r="10" spans="1:9" ht="14.25" x14ac:dyDescent="0.2">
      <c r="A10" s="32">
        <v>2317</v>
      </c>
      <c r="B10" s="185" t="s">
        <v>891</v>
      </c>
      <c r="C10" s="276">
        <f t="shared" si="0"/>
        <v>8650</v>
      </c>
      <c r="D10" s="243"/>
      <c r="E10" s="244">
        <v>8650</v>
      </c>
      <c r="F10" s="253"/>
      <c r="G10" s="253"/>
      <c r="H10" s="253"/>
      <c r="I10" s="256"/>
    </row>
    <row r="11" spans="1:9" ht="14.25" x14ac:dyDescent="0.2">
      <c r="A11" s="32">
        <v>2321</v>
      </c>
      <c r="B11" s="185" t="s">
        <v>892</v>
      </c>
      <c r="C11" s="276">
        <f t="shared" si="0"/>
        <v>219458.54</v>
      </c>
      <c r="D11" s="244">
        <v>219458.54</v>
      </c>
      <c r="E11" s="243"/>
      <c r="F11" s="253"/>
      <c r="G11" s="253"/>
      <c r="H11" s="253"/>
      <c r="I11" s="256"/>
    </row>
    <row r="12" spans="1:9" x14ac:dyDescent="0.2">
      <c r="A12" s="32">
        <v>2400</v>
      </c>
      <c r="B12" t="s">
        <v>711</v>
      </c>
      <c r="C12" s="276">
        <f t="shared" si="0"/>
        <v>1189507.8700000001</v>
      </c>
      <c r="D12" s="20">
        <f>'DOE25'!L206+'DOE25'!L224+'DOE25'!L242-F12-G12-H12</f>
        <v>1140222.25</v>
      </c>
      <c r="E12" s="243"/>
      <c r="F12" s="244">
        <v>0</v>
      </c>
      <c r="G12" s="53">
        <f>'DOE25'!J206+'DOE25'!J224+'DOE25'!J242</f>
        <v>0</v>
      </c>
      <c r="H12" s="53">
        <f>'DOE25'!K206+'DOE25'!K224+'DOE25'!K242</f>
        <v>49285.62</v>
      </c>
      <c r="I12" s="256"/>
    </row>
    <row r="13" spans="1:9" x14ac:dyDescent="0.2">
      <c r="A13" s="32">
        <v>2500</v>
      </c>
      <c r="B13" t="s">
        <v>798</v>
      </c>
      <c r="C13" s="276">
        <f t="shared" si="0"/>
        <v>0</v>
      </c>
      <c r="D13" s="243"/>
      <c r="E13" s="20">
        <f>'DOE25'!L207+'DOE25'!L225+'DOE25'!L243-F13-G13-H13</f>
        <v>0</v>
      </c>
      <c r="F13" s="244">
        <v>0</v>
      </c>
      <c r="G13" s="53">
        <f>'DOE25'!J207+'DOE25'!J225+'DOE25'!J243</f>
        <v>0</v>
      </c>
      <c r="H13" s="53">
        <f>'DOE25'!K207+'DOE25'!K225+'DOE25'!K243</f>
        <v>0</v>
      </c>
      <c r="I13" s="256"/>
    </row>
    <row r="14" spans="1:9" x14ac:dyDescent="0.2">
      <c r="A14" s="32">
        <v>2600</v>
      </c>
      <c r="B14" t="s">
        <v>819</v>
      </c>
      <c r="C14" s="276">
        <f t="shared" si="0"/>
        <v>2446218.0700000003</v>
      </c>
      <c r="D14" s="20">
        <f>'DOE25'!L208+'DOE25'!L226+'DOE25'!L244-F14-G14-H14</f>
        <v>2272959.6100000003</v>
      </c>
      <c r="E14" s="243"/>
      <c r="F14" s="244">
        <v>40286</v>
      </c>
      <c r="G14" s="53">
        <f>'DOE25'!J208+'DOE25'!J226+'DOE25'!J244</f>
        <v>132972.46</v>
      </c>
      <c r="H14" s="53">
        <f>'DOE25'!K208+'DOE25'!K226+'DOE25'!K244</f>
        <v>0</v>
      </c>
      <c r="I14" s="256"/>
    </row>
    <row r="15" spans="1:9" x14ac:dyDescent="0.2">
      <c r="A15" s="32">
        <v>2700</v>
      </c>
      <c r="B15" t="s">
        <v>799</v>
      </c>
      <c r="C15" s="276">
        <f t="shared" si="0"/>
        <v>790003.84</v>
      </c>
      <c r="D15" s="20">
        <f>'DOE25'!L209+'DOE25'!L227+'DOE25'!L245-F15-G15-H15</f>
        <v>142092.97999999998</v>
      </c>
      <c r="E15" s="243"/>
      <c r="F15" s="244">
        <f>489789.3+158121.56</f>
        <v>647910.86</v>
      </c>
      <c r="G15" s="53">
        <f>'DOE25'!J209+'DOE25'!J227+'DOE25'!J245</f>
        <v>0</v>
      </c>
      <c r="H15" s="53">
        <f>'DOE25'!K209+'DOE25'!K227+'DOE25'!K245</f>
        <v>0</v>
      </c>
      <c r="I15" s="256"/>
    </row>
    <row r="16" spans="1:9" x14ac:dyDescent="0.2">
      <c r="A16" s="32">
        <v>2800</v>
      </c>
      <c r="B16" t="s">
        <v>800</v>
      </c>
      <c r="C16" s="276">
        <f t="shared" si="0"/>
        <v>16503.45</v>
      </c>
      <c r="D16" s="243"/>
      <c r="E16" s="20">
        <f>'DOE25'!L210+'DOE25'!L228+'DOE25'!L246-F16-G16-H16</f>
        <v>14476.5</v>
      </c>
      <c r="F16" s="244">
        <v>0</v>
      </c>
      <c r="G16" s="53">
        <f>'DOE25'!J210+'DOE25'!J228+'DOE25'!J246</f>
        <v>0</v>
      </c>
      <c r="H16" s="53">
        <f>'DOE25'!K210+'DOE25'!K228+'DOE25'!K246</f>
        <v>2026.95</v>
      </c>
      <c r="I16" s="256"/>
    </row>
    <row r="17" spans="1:9" x14ac:dyDescent="0.2">
      <c r="A17" s="32">
        <v>1600</v>
      </c>
      <c r="B17" t="s">
        <v>801</v>
      </c>
      <c r="C17" s="276">
        <f t="shared" si="0"/>
        <v>110860.16</v>
      </c>
      <c r="D17" s="20">
        <f>'DOE25'!L252-F17-G17-H17</f>
        <v>110860.16</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511198.2</v>
      </c>
      <c r="D22" s="243"/>
      <c r="E22" s="243"/>
      <c r="F22" s="243"/>
      <c r="G22" s="53">
        <f>'DOE25'!L256+'DOE25'!L337</f>
        <v>511198.2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1972696</v>
      </c>
      <c r="D25" s="243"/>
      <c r="E25" s="243"/>
      <c r="F25" s="255"/>
      <c r="G25" s="253"/>
      <c r="H25" s="253"/>
      <c r="I25" s="254">
        <f>'DOE25'!L261+'DOE25'!L262+'DOE25'!L342+'DOE25'!L343</f>
        <v>1972696</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307108.7</v>
      </c>
      <c r="D29" s="284">
        <f>'DOE25'!L359+'DOE25'!L360+'DOE25'!L361-'DOE25'!I368-F29-G29-H29</f>
        <v>303941.58</v>
      </c>
      <c r="E29" s="243"/>
      <c r="F29" s="244">
        <v>0</v>
      </c>
      <c r="G29" s="53">
        <f>'DOE25'!J359+'DOE25'!J360+'DOE25'!J361</f>
        <v>1601.4</v>
      </c>
      <c r="H29" s="53">
        <f>'DOE25'!K359+'DOE25'!K360+'DOE25'!K361</f>
        <v>1565.72</v>
      </c>
      <c r="I29" s="256"/>
    </row>
    <row r="30" spans="1:9" x14ac:dyDescent="0.2">
      <c r="A30" s="32"/>
      <c r="C30" s="277"/>
      <c r="D30" s="20"/>
      <c r="E30" s="281"/>
      <c r="F30" s="271"/>
      <c r="G30" s="53"/>
      <c r="H30" s="53"/>
      <c r="I30" s="256"/>
    </row>
    <row r="31" spans="1:9" x14ac:dyDescent="0.2">
      <c r="A31" s="32" t="s">
        <v>818</v>
      </c>
      <c r="B31" t="s">
        <v>817</v>
      </c>
      <c r="C31" s="276">
        <f>SUM(D31:I31)</f>
        <v>635247.59</v>
      </c>
      <c r="D31" s="20">
        <f>'DOE25'!L291+'DOE25'!L310+'DOE25'!L329+'DOE25'!L334+'DOE25'!L335+'DOE25'!L336-F31-G31-H31</f>
        <v>436599.62</v>
      </c>
      <c r="E31" s="243"/>
      <c r="F31" s="244">
        <f>77735.5+99545.36</f>
        <v>177280.86</v>
      </c>
      <c r="G31" s="53">
        <f>'DOE25'!J291+'DOE25'!J310+'DOE25'!J329+'DOE25'!J334+'DOE25'!J335+'DOE25'!J336</f>
        <v>7031.99</v>
      </c>
      <c r="H31" s="53">
        <f>'DOE25'!K291+'DOE25'!K310+'DOE25'!K329+'DOE25'!K334+'DOE25'!K335+'DOE25'!K336</f>
        <v>14335.119999999999</v>
      </c>
      <c r="I31" s="256"/>
    </row>
    <row r="32" spans="1:9" ht="12" thickBot="1" x14ac:dyDescent="0.25">
      <c r="C32" s="277"/>
      <c r="G32" s="251"/>
      <c r="H32" s="251"/>
      <c r="I32" s="258"/>
    </row>
    <row r="33" spans="1:9" ht="12" thickTop="1" x14ac:dyDescent="0.2">
      <c r="B33" t="s">
        <v>809</v>
      </c>
      <c r="D33" s="245">
        <f t="shared" ref="D33:I33" si="1">SUM(D5:D31)</f>
        <v>22910101.25</v>
      </c>
      <c r="E33" s="245">
        <f t="shared" si="1"/>
        <v>650501.27</v>
      </c>
      <c r="F33" s="245">
        <f t="shared" si="1"/>
        <v>947030.72</v>
      </c>
      <c r="G33" s="245">
        <f t="shared" si="1"/>
        <v>956593.82</v>
      </c>
      <c r="H33" s="245">
        <f t="shared" si="1"/>
        <v>109808.46</v>
      </c>
      <c r="I33" s="245">
        <f t="shared" si="1"/>
        <v>1972696</v>
      </c>
    </row>
    <row r="35" spans="1:9" ht="12" thickBot="1" x14ac:dyDescent="0.25">
      <c r="B35" s="251" t="s">
        <v>831</v>
      </c>
      <c r="D35" s="252">
        <f>E33</f>
        <v>650501.27</v>
      </c>
      <c r="E35" s="248"/>
    </row>
    <row r="36" spans="1:9" ht="12" thickTop="1" x14ac:dyDescent="0.2">
      <c r="B36" t="s">
        <v>810</v>
      </c>
      <c r="D36" s="20">
        <f>D33</f>
        <v>22910101.25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F27" sqref="F2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WINNACUNNET</v>
      </c>
      <c r="B2" s="126">
        <f>'DOE25'!B2</f>
        <v>581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0</v>
      </c>
      <c r="G4" s="303">
        <f>'DOE25'!L212+'DOE25'!L291</f>
        <v>0</v>
      </c>
      <c r="H4" s="337">
        <f>F4-G4</f>
        <v>0</v>
      </c>
      <c r="I4" s="309" t="str">
        <f>IF(H4=0,"","Does not match DOE25 page 7 and 11 Totals!!")</f>
        <v/>
      </c>
      <c r="N4"/>
    </row>
    <row r="5" spans="1:18" x14ac:dyDescent="0.2">
      <c r="A5" s="21"/>
      <c r="B5" s="304" t="str">
        <f>IFERROR(VLOOKUP(A5,'School Tables'!$C$3:$D$365,2,FALSE),"")</f>
        <v/>
      </c>
      <c r="C5" s="297" t="str">
        <f>IFERROR(INDEX('School Tables'!$B$3:$B$365,MATCH('School Level Expenditures'!B5,'School Tables'!$D$3:$D$365,0)),"")</f>
        <v/>
      </c>
      <c r="D5" s="294"/>
      <c r="E5" s="294"/>
      <c r="F5" s="312">
        <f>D5+E5</f>
        <v>0</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24584218.459999997</v>
      </c>
      <c r="G36" s="303">
        <f>'DOE25'!L248+'DOE25'!L329</f>
        <v>24584218.459999997</v>
      </c>
      <c r="H36" s="337">
        <f>F36-G36</f>
        <v>0</v>
      </c>
      <c r="I36" s="309" t="str">
        <f>IF(H36=0,"","Does not match DOE25 page 9 and 13 Totals!!")</f>
        <v/>
      </c>
      <c r="N36"/>
    </row>
    <row r="37" spans="1:14" x14ac:dyDescent="0.2">
      <c r="A37" s="21" t="s">
        <v>1490</v>
      </c>
      <c r="B37" s="304">
        <f>IFERROR(VLOOKUP(A37,'School Tables'!$O$3:$P$118,2,FALSE),"")</f>
        <v>20780</v>
      </c>
      <c r="C37" s="297" t="str">
        <f t="array" ref="C37">IFERROR(INDEX('School Tables'!$N$3:$N$118,MATCH('School Level Expenditures'!B37,'School Tables'!$P$3:$P$118,0)),"")</f>
        <v>Winnacunnet Cooperative</v>
      </c>
      <c r="D37" s="294">
        <f>22385013.08+1159.84-8388.86+67.72</f>
        <v>22377851.779999997</v>
      </c>
      <c r="E37" s="294">
        <v>583247.59</v>
      </c>
      <c r="F37" s="307">
        <f>D37+E37</f>
        <v>22961099.369999997</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1623119.09</v>
      </c>
      <c r="E38" s="294"/>
      <c r="F38" s="307">
        <f t="shared" ref="F38:F41" si="2">D38+E38</f>
        <v>1623119.09</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WINNACUNNET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1491987.51</v>
      </c>
      <c r="D8" s="95">
        <f>'DOE25'!G9</f>
        <v>200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755660.07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100125</v>
      </c>
      <c r="D11" s="95">
        <f>'DOE25'!G12</f>
        <v>127.99</v>
      </c>
      <c r="E11" s="95">
        <f>'DOE25'!H12</f>
        <v>0</v>
      </c>
      <c r="F11" s="95">
        <f>'DOE25'!I12</f>
        <v>0</v>
      </c>
      <c r="G11" s="95">
        <f>'DOE25'!J12</f>
        <v>0</v>
      </c>
      <c r="H11" s="124"/>
      <c r="I11" s="124"/>
    </row>
    <row r="12" spans="1:9" x14ac:dyDescent="0.2">
      <c r="A12" s="1" t="s">
        <v>143</v>
      </c>
      <c r="B12" s="6">
        <v>140</v>
      </c>
      <c r="C12" s="95">
        <f>'DOE25'!F13</f>
        <v>66830.38</v>
      </c>
      <c r="D12" s="95">
        <f>'DOE25'!G13</f>
        <v>12070</v>
      </c>
      <c r="E12" s="95">
        <f>'DOE25'!H13</f>
        <v>104201.85</v>
      </c>
      <c r="F12" s="95">
        <f>'DOE25'!I13</f>
        <v>0</v>
      </c>
      <c r="G12" s="95">
        <f>'DOE25'!J13</f>
        <v>0</v>
      </c>
      <c r="H12" s="124"/>
      <c r="I12" s="124"/>
    </row>
    <row r="13" spans="1:9" x14ac:dyDescent="0.2">
      <c r="A13" s="1" t="s">
        <v>144</v>
      </c>
      <c r="B13" s="6">
        <v>150</v>
      </c>
      <c r="C13" s="95">
        <f>'DOE25'!F14</f>
        <v>5776.92</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14566.91</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1664719.81</v>
      </c>
      <c r="D18" s="41">
        <f>SUM(D8:D17)</f>
        <v>26964.9</v>
      </c>
      <c r="E18" s="41">
        <f>SUM(E8:E17)</f>
        <v>104201.85</v>
      </c>
      <c r="F18" s="41">
        <f>SUM(F8:F17)</f>
        <v>0</v>
      </c>
      <c r="G18" s="41">
        <f>SUM(G8:G17)</f>
        <v>755660.07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127.99</v>
      </c>
      <c r="D21" s="95">
        <f>'DOE25'!G22</f>
        <v>0</v>
      </c>
      <c r="E21" s="95">
        <f>'DOE25'!H22</f>
        <v>100124.69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176200.19</v>
      </c>
      <c r="D23" s="95">
        <f>'DOE25'!G24</f>
        <v>3493.49</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31920.38</v>
      </c>
      <c r="D27" s="95">
        <f>'DOE25'!G28</f>
        <v>5170.29</v>
      </c>
      <c r="E27" s="95">
        <f>'DOE25'!H28</f>
        <v>3250</v>
      </c>
      <c r="F27" s="95">
        <f>'DOE25'!I28</f>
        <v>0</v>
      </c>
      <c r="G27" s="24" t="s">
        <v>288</v>
      </c>
      <c r="H27" s="124"/>
      <c r="I27" s="124"/>
    </row>
    <row r="28" spans="1:9" x14ac:dyDescent="0.2">
      <c r="A28" s="1" t="s">
        <v>157</v>
      </c>
      <c r="B28" s="6">
        <v>470</v>
      </c>
      <c r="C28" s="95">
        <f>'DOE25'!F29</f>
        <v>7307.4199999999992</v>
      </c>
      <c r="D28" s="95">
        <f>'DOE25'!G29</f>
        <v>0</v>
      </c>
      <c r="E28" s="95">
        <f>'DOE25'!H29</f>
        <v>827.16</v>
      </c>
      <c r="F28" s="95">
        <f>'DOE25'!I29</f>
        <v>0</v>
      </c>
      <c r="G28" s="24" t="s">
        <v>288</v>
      </c>
      <c r="H28" s="124"/>
      <c r="I28" s="124"/>
    </row>
    <row r="29" spans="1:9" x14ac:dyDescent="0.2">
      <c r="A29" s="1" t="s">
        <v>158</v>
      </c>
      <c r="B29" s="6">
        <v>480</v>
      </c>
      <c r="C29" s="95">
        <f>'DOE25'!F30</f>
        <v>8507.23</v>
      </c>
      <c r="D29" s="95">
        <f>'DOE25'!G30</f>
        <v>18301.12</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224063.21000000002</v>
      </c>
      <c r="D31" s="41">
        <f>SUM(D21:D30)</f>
        <v>26964.899999999998</v>
      </c>
      <c r="E31" s="41">
        <f>SUM(E21:E30)</f>
        <v>104201.85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14566.91</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-14566.91</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43095.96</v>
      </c>
      <c r="D47" s="95">
        <f>'DOE25'!G48</f>
        <v>0</v>
      </c>
      <c r="E47" s="95">
        <f>'DOE25'!H48</f>
        <v>0</v>
      </c>
      <c r="F47" s="95">
        <f>'DOE25'!I48</f>
        <v>0</v>
      </c>
      <c r="G47" s="95">
        <f>'DOE25'!J48</f>
        <v>755660.07</v>
      </c>
      <c r="H47" s="124"/>
      <c r="I47" s="124"/>
    </row>
    <row r="48" spans="1:9" x14ac:dyDescent="0.2">
      <c r="A48" s="1" t="s">
        <v>882</v>
      </c>
      <c r="B48" s="6">
        <v>753</v>
      </c>
      <c r="C48" s="95">
        <f>'DOE25'!F49</f>
        <v>34535.64</v>
      </c>
      <c r="D48" s="95">
        <f>'DOE25'!G49</f>
        <v>0</v>
      </c>
      <c r="E48" s="95">
        <f>'DOE25'!H49</f>
        <v>0</v>
      </c>
      <c r="F48" s="95">
        <f>'DOE25'!I49</f>
        <v>0</v>
      </c>
      <c r="G48" s="95">
        <f>'DOE25'!J49</f>
        <v>0</v>
      </c>
      <c r="H48" s="124"/>
      <c r="I48" s="124"/>
    </row>
    <row r="49" spans="1:9" ht="12" thickBot="1" x14ac:dyDescent="0.25">
      <c r="A49" s="29" t="s">
        <v>883</v>
      </c>
      <c r="B49" s="71">
        <v>770</v>
      </c>
      <c r="C49" s="95">
        <f>'DOE25'!F50</f>
        <v>1213025</v>
      </c>
      <c r="D49" s="24" t="s">
        <v>288</v>
      </c>
      <c r="E49" s="24" t="s">
        <v>288</v>
      </c>
      <c r="F49" s="24" t="s">
        <v>288</v>
      </c>
      <c r="G49" s="24" t="s">
        <v>288</v>
      </c>
      <c r="H49" s="124"/>
      <c r="I49" s="124"/>
    </row>
    <row r="50" spans="1:9" ht="12.75" thickTop="1" thickBot="1" x14ac:dyDescent="0.25">
      <c r="A50" s="38" t="s">
        <v>884</v>
      </c>
      <c r="B50" s="48"/>
      <c r="C50" s="41">
        <f>SUM(C34:C49)</f>
        <v>1440656.6</v>
      </c>
      <c r="D50" s="41">
        <f>SUM(D34:D49)</f>
        <v>0</v>
      </c>
      <c r="E50" s="41">
        <f>SUM(E34:E49)</f>
        <v>0</v>
      </c>
      <c r="F50" s="41">
        <f>SUM(F34:F49)</f>
        <v>0</v>
      </c>
      <c r="G50" s="41">
        <f>SUM(G34:G49)</f>
        <v>755660.07</v>
      </c>
      <c r="H50" s="124"/>
      <c r="I50" s="124"/>
    </row>
    <row r="51" spans="1:9" ht="12" thickTop="1" x14ac:dyDescent="0.2">
      <c r="A51" s="38" t="s">
        <v>885</v>
      </c>
      <c r="B51" s="2"/>
      <c r="C51" s="41">
        <f>C50+C31</f>
        <v>1664719.81</v>
      </c>
      <c r="D51" s="41">
        <f>D50+D31</f>
        <v>26964.899999999998</v>
      </c>
      <c r="E51" s="41">
        <f>E50+E31</f>
        <v>104201.85</v>
      </c>
      <c r="F51" s="41">
        <f>F50+F31</f>
        <v>0</v>
      </c>
      <c r="G51" s="41">
        <f>G50+G31</f>
        <v>755660.07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20581544</v>
      </c>
      <c r="D56" s="95">
        <f>'DOE25'!G60</f>
        <v>0</v>
      </c>
      <c r="E56" s="95">
        <f>'DOE25'!H60</f>
        <v>0</v>
      </c>
      <c r="F56" s="95">
        <f>'DOE25'!I60</f>
        <v>0</v>
      </c>
      <c r="G56" s="95">
        <f>'DOE25'!J60</f>
        <v>0</v>
      </c>
      <c r="H56"/>
      <c r="I56"/>
    </row>
    <row r="57" spans="1:9" x14ac:dyDescent="0.2">
      <c r="A57" s="1" t="s">
        <v>164</v>
      </c>
      <c r="B57" s="6" t="s">
        <v>165</v>
      </c>
      <c r="C57" s="95">
        <f>'DOE25'!F79</f>
        <v>109364.33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9267.48</v>
      </c>
      <c r="D59" s="95">
        <f>'DOE25'!G96</f>
        <v>0</v>
      </c>
      <c r="E59" s="95">
        <f>'DOE25'!H96</f>
        <v>0</v>
      </c>
      <c r="F59" s="95">
        <f>'DOE25'!I96</f>
        <v>0</v>
      </c>
      <c r="G59" s="95">
        <f>'DOE25'!J96</f>
        <v>28145</v>
      </c>
      <c r="H59"/>
      <c r="I59"/>
    </row>
    <row r="60" spans="1:9" x14ac:dyDescent="0.2">
      <c r="A60" s="1" t="s">
        <v>170</v>
      </c>
      <c r="B60" s="118" t="s">
        <v>171</v>
      </c>
      <c r="C60" s="24" t="s">
        <v>288</v>
      </c>
      <c r="D60" s="95">
        <f>'DOE25'!G97</f>
        <v>324820.73000000004</v>
      </c>
      <c r="E60" s="24" t="s">
        <v>288</v>
      </c>
      <c r="F60" s="24" t="s">
        <v>288</v>
      </c>
      <c r="G60" s="24" t="s">
        <v>288</v>
      </c>
      <c r="H60"/>
      <c r="I60"/>
    </row>
    <row r="61" spans="1:9" ht="12" thickBot="1" x14ac:dyDescent="0.25">
      <c r="A61" s="1" t="s">
        <v>172</v>
      </c>
      <c r="B61" s="118" t="s">
        <v>173</v>
      </c>
      <c r="C61" s="95">
        <f>SUM('DOE25'!F98:F110)</f>
        <v>63635.450000000004</v>
      </c>
      <c r="D61" s="95">
        <f>SUM('DOE25'!G98:G110)</f>
        <v>1000</v>
      </c>
      <c r="E61" s="95">
        <f>SUM('DOE25'!H98:H110)</f>
        <v>0</v>
      </c>
      <c r="F61" s="95">
        <f>SUM('DOE25'!I98:I110)</f>
        <v>0</v>
      </c>
      <c r="G61" s="95">
        <f>SUM('DOE25'!J98:J110)</f>
        <v>0</v>
      </c>
      <c r="H61"/>
      <c r="I61"/>
    </row>
    <row r="62" spans="1:9" ht="12.75" thickTop="1" thickBot="1" x14ac:dyDescent="0.25">
      <c r="A62" s="29" t="s">
        <v>174</v>
      </c>
      <c r="B62" s="6"/>
      <c r="C62" s="130">
        <f>SUM(C57:C61)</f>
        <v>182267.26</v>
      </c>
      <c r="D62" s="130">
        <f>SUM(D57:D61)</f>
        <v>325820.73000000004</v>
      </c>
      <c r="E62" s="130">
        <f>SUM(E57:E61)</f>
        <v>0</v>
      </c>
      <c r="F62" s="130">
        <f>SUM(F57:F61)</f>
        <v>0</v>
      </c>
      <c r="G62" s="130">
        <f>SUM(G57:G61)</f>
        <v>28145</v>
      </c>
      <c r="H62"/>
      <c r="I62"/>
    </row>
    <row r="63" spans="1:9" ht="12" thickTop="1" x14ac:dyDescent="0.2">
      <c r="A63" s="29" t="s">
        <v>175</v>
      </c>
      <c r="B63" s="6"/>
      <c r="C63" s="22">
        <f>C56+C62</f>
        <v>20763811.260000002</v>
      </c>
      <c r="D63" s="22">
        <f>D56+D62</f>
        <v>325820.73000000004</v>
      </c>
      <c r="E63" s="22">
        <f>E56+E62</f>
        <v>0</v>
      </c>
      <c r="F63" s="22">
        <f>F56+F62</f>
        <v>0</v>
      </c>
      <c r="G63" s="22">
        <f>G56+G62</f>
        <v>28145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418587.19</v>
      </c>
      <c r="D66" s="24" t="s">
        <v>288</v>
      </c>
      <c r="E66" s="24" t="s">
        <v>288</v>
      </c>
      <c r="F66" s="24" t="s">
        <v>288</v>
      </c>
      <c r="G66" s="24" t="s">
        <v>288</v>
      </c>
      <c r="H66"/>
      <c r="I66"/>
    </row>
    <row r="67" spans="1:9" x14ac:dyDescent="0.2">
      <c r="A67" s="1" t="s">
        <v>770</v>
      </c>
      <c r="B67" s="6">
        <v>3112</v>
      </c>
      <c r="C67" s="95">
        <f>'DOE25'!F118</f>
        <v>4522930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6172.64</v>
      </c>
      <c r="D69" s="95">
        <f>'DOE25'!G120</f>
        <v>0</v>
      </c>
      <c r="E69" s="95">
        <f>'DOE25'!H120</f>
        <v>0</v>
      </c>
      <c r="F69" s="95">
        <f>'DOE25'!I120</f>
        <v>0</v>
      </c>
      <c r="G69" s="95">
        <f>'DOE25'!J120</f>
        <v>0</v>
      </c>
      <c r="H69"/>
      <c r="I69"/>
    </row>
    <row r="70" spans="1:9" ht="12" thickTop="1" x14ac:dyDescent="0.2">
      <c r="A70" s="29" t="s">
        <v>252</v>
      </c>
      <c r="B70" s="2"/>
      <c r="C70" s="139">
        <f>SUM(C66:C69)</f>
        <v>4947689.83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824839.17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813709.73</v>
      </c>
      <c r="D75" s="24" t="s">
        <v>288</v>
      </c>
      <c r="E75" s="24" t="s">
        <v>288</v>
      </c>
      <c r="F75" s="24" t="s">
        <v>288</v>
      </c>
      <c r="G75" s="24" t="s">
        <v>288</v>
      </c>
      <c r="H75"/>
      <c r="I75"/>
    </row>
    <row r="76" spans="1:9" x14ac:dyDescent="0.2">
      <c r="A76" s="1" t="s">
        <v>257</v>
      </c>
      <c r="B76" s="6" t="s">
        <v>179</v>
      </c>
      <c r="C76" s="95">
        <f>SUM('DOE25'!F127:F130)</f>
        <v>15911</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4407.46</v>
      </c>
      <c r="E77" s="95">
        <f>SUM('DOE25'!H131:H135)</f>
        <v>0</v>
      </c>
      <c r="F77" s="95">
        <f>SUM('DOE25'!I131:I135)</f>
        <v>0</v>
      </c>
      <c r="G77" s="95">
        <f>SUM('DOE25'!J131:J135)</f>
        <v>0</v>
      </c>
      <c r="H77"/>
      <c r="I77"/>
    </row>
    <row r="78" spans="1:9" ht="12.75" thickTop="1" thickBot="1" x14ac:dyDescent="0.25">
      <c r="A78" s="29" t="s">
        <v>259</v>
      </c>
      <c r="B78" s="6"/>
      <c r="C78" s="130">
        <f>SUM(C72:C77)</f>
        <v>1654459.9</v>
      </c>
      <c r="D78" s="130">
        <f>SUM(D72:D77)</f>
        <v>4407.46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6602149.7300000004</v>
      </c>
      <c r="D81" s="130">
        <f>SUM(D79:D80)+D78+D70</f>
        <v>4407.46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29914.17</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65743.77</v>
      </c>
      <c r="D88" s="341">
        <f>SUM('DOE25'!G153:G162)</f>
        <v>106938.94</v>
      </c>
      <c r="E88" s="341">
        <f>SUM('DOE25'!H153:H162)</f>
        <v>635247.59000000008</v>
      </c>
      <c r="F88" s="341">
        <f>SUM('DOE25'!I153:I162)</f>
        <v>0</v>
      </c>
      <c r="G88" s="24" t="s">
        <v>288</v>
      </c>
    </row>
    <row r="89" spans="1:9" x14ac:dyDescent="0.2">
      <c r="A89" t="s">
        <v>748</v>
      </c>
      <c r="B89" s="32" t="s">
        <v>185</v>
      </c>
      <c r="C89" s="95">
        <f>'DOE25'!F164+'DOE25'!F167+'DOE25'!F169</f>
        <v>79330.42</v>
      </c>
      <c r="D89" s="95">
        <f>'DOE25'!G164+'DOE25'!G169</f>
        <v>26985.48</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174988.36</v>
      </c>
      <c r="D91" s="131">
        <f>SUM(D85:D90)</f>
        <v>133924.42000000001</v>
      </c>
      <c r="E91" s="131">
        <f>SUM(E85:E90)</f>
        <v>635247.59000000008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55153</v>
      </c>
      <c r="E96" s="95">
        <f>'DOE25'!H180</f>
        <v>0</v>
      </c>
      <c r="F96" s="95">
        <f>'DOE25'!I180</f>
        <v>0</v>
      </c>
      <c r="G96" s="95">
        <f>'DOE25'!J180</f>
        <v>125000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5500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5500</v>
      </c>
      <c r="D103" s="86">
        <f>SUM(D93:D102)</f>
        <v>55153</v>
      </c>
      <c r="E103" s="86">
        <f>SUM(E93:E102)</f>
        <v>0</v>
      </c>
      <c r="F103" s="86">
        <f>SUM(F93:F102)</f>
        <v>0</v>
      </c>
      <c r="G103" s="86">
        <f>SUM(G93:G102)</f>
        <v>125000</v>
      </c>
    </row>
    <row r="104" spans="1:7" ht="12.75" thickTop="1" thickBot="1" x14ac:dyDescent="0.25">
      <c r="A104" s="33" t="s">
        <v>761</v>
      </c>
      <c r="C104" s="86">
        <f>C63+C81+C91+C103</f>
        <v>27546449.350000001</v>
      </c>
      <c r="D104" s="86">
        <f>D63+D81+D91+D103</f>
        <v>519305.6100000001</v>
      </c>
      <c r="E104" s="86">
        <f>E63+E81+E91+E103</f>
        <v>635247.59000000008</v>
      </c>
      <c r="F104" s="86">
        <f>F63+F81+F91+F103</f>
        <v>0</v>
      </c>
      <c r="G104" s="86">
        <f>G63+G81+G103</f>
        <v>153145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10149147.460000001</v>
      </c>
      <c r="D109" s="24" t="s">
        <v>288</v>
      </c>
      <c r="E109" s="95">
        <f>('DOE25'!L277)+('DOE25'!L296)+('DOE25'!L315)</f>
        <v>162010.4</v>
      </c>
      <c r="F109" s="24" t="s">
        <v>288</v>
      </c>
      <c r="G109" s="24" t="s">
        <v>288</v>
      </c>
    </row>
    <row r="110" spans="1:7" x14ac:dyDescent="0.2">
      <c r="A110" t="s">
        <v>198</v>
      </c>
      <c r="B110" s="32" t="s">
        <v>199</v>
      </c>
      <c r="C110" s="95">
        <f>('DOE25'!L199)+('DOE25'!L217)+('DOE25'!L235)</f>
        <v>4330160.8599999994</v>
      </c>
      <c r="D110" s="24" t="s">
        <v>288</v>
      </c>
      <c r="E110" s="95">
        <f>('DOE25'!L278)+('DOE25'!L297)+('DOE25'!L316)</f>
        <v>262541.44</v>
      </c>
      <c r="F110" s="24" t="s">
        <v>288</v>
      </c>
      <c r="G110" s="24" t="s">
        <v>288</v>
      </c>
    </row>
    <row r="111" spans="1:7" x14ac:dyDescent="0.2">
      <c r="A111" t="s">
        <v>200</v>
      </c>
      <c r="B111" s="32" t="s">
        <v>165</v>
      </c>
      <c r="C111" s="95">
        <f>('DOE25'!L200)+('DOE25'!L218)+('DOE25'!L236)</f>
        <v>172494</v>
      </c>
      <c r="D111" s="24" t="s">
        <v>288</v>
      </c>
      <c r="E111" s="95">
        <f>('DOE25'!L279)+('DOE25'!L298)+('DOE25'!L317)</f>
        <v>0</v>
      </c>
      <c r="F111" s="24" t="s">
        <v>288</v>
      </c>
      <c r="G111" s="24" t="s">
        <v>288</v>
      </c>
    </row>
    <row r="112" spans="1:7" x14ac:dyDescent="0.2">
      <c r="A112" t="s">
        <v>201</v>
      </c>
      <c r="B112" s="32" t="s">
        <v>167</v>
      </c>
      <c r="C112" s="95">
        <f>('DOE25'!L201)+('DOE25'!L219)+('DOE25'!L237)</f>
        <v>863845.98</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110860.16</v>
      </c>
      <c r="D114" s="24" t="s">
        <v>288</v>
      </c>
      <c r="E114" s="95">
        <f>+ SUM('DOE25'!L334:L336)</f>
        <v>51999.999999999993</v>
      </c>
      <c r="F114" s="24" t="s">
        <v>288</v>
      </c>
      <c r="G114" s="24" t="s">
        <v>288</v>
      </c>
    </row>
    <row r="115" spans="1:7" ht="12.75" thickTop="1" thickBot="1" x14ac:dyDescent="0.25">
      <c r="A115" s="33" t="s">
        <v>205</v>
      </c>
      <c r="C115" s="86">
        <f>SUM(C109:C114)</f>
        <v>15626508.460000001</v>
      </c>
      <c r="D115" s="86">
        <f>SUM(D109:D114)</f>
        <v>0</v>
      </c>
      <c r="E115" s="86">
        <f>SUM(E109:E114)</f>
        <v>476551.83999999997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1442928.17</v>
      </c>
      <c r="D118" s="24" t="s">
        <v>288</v>
      </c>
      <c r="E118" s="95">
        <f>+('DOE25'!L282)+('DOE25'!L301)+('DOE25'!L320)</f>
        <v>4461.66</v>
      </c>
      <c r="F118" s="24" t="s">
        <v>288</v>
      </c>
      <c r="G118" s="24" t="s">
        <v>288</v>
      </c>
    </row>
    <row r="119" spans="1:7" x14ac:dyDescent="0.2">
      <c r="A119" t="s">
        <v>208</v>
      </c>
      <c r="B119" s="32" t="s">
        <v>209</v>
      </c>
      <c r="C119" s="95">
        <f>('DOE25'!L204)+('DOE25'!L222)+('DOE25'!L240)</f>
        <v>1678789.8100000003</v>
      </c>
      <c r="D119" s="24" t="s">
        <v>288</v>
      </c>
      <c r="E119" s="95">
        <f>+('DOE25'!L283)+('DOE25'!L302)+('DOE25'!L321)</f>
        <v>87412.62</v>
      </c>
      <c r="F119" s="24" t="s">
        <v>288</v>
      </c>
      <c r="G119" s="24" t="s">
        <v>288</v>
      </c>
    </row>
    <row r="120" spans="1:7" x14ac:dyDescent="0.2">
      <c r="A120" t="s">
        <v>210</v>
      </c>
      <c r="B120" s="32" t="s">
        <v>211</v>
      </c>
      <c r="C120" s="95">
        <f>('DOE25'!L205)+('DOE25'!L223)+('DOE25'!L241)</f>
        <v>921371.3600000001</v>
      </c>
      <c r="D120" s="24" t="s">
        <v>288</v>
      </c>
      <c r="E120" s="95">
        <f>+('DOE25'!L284)+('DOE25'!L303)+('DOE25'!L322)</f>
        <v>66821.47</v>
      </c>
      <c r="F120" s="24" t="s">
        <v>288</v>
      </c>
      <c r="G120" s="24" t="s">
        <v>288</v>
      </c>
    </row>
    <row r="121" spans="1:7" x14ac:dyDescent="0.2">
      <c r="A121" t="s">
        <v>212</v>
      </c>
      <c r="B121" s="32" t="s">
        <v>213</v>
      </c>
      <c r="C121" s="95">
        <f>('DOE25'!L206)+('DOE25'!L224)+('DOE25'!L242)</f>
        <v>1189507.8700000001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2446218.0700000003</v>
      </c>
      <c r="D123" s="24" t="s">
        <v>288</v>
      </c>
      <c r="E123" s="95">
        <f>+('DOE25'!L287)+('DOE25'!L306)+('DOE25'!L325)</f>
        <v>0</v>
      </c>
      <c r="F123" s="24" t="s">
        <v>288</v>
      </c>
      <c r="G123" s="24" t="s">
        <v>288</v>
      </c>
    </row>
    <row r="124" spans="1:7" x14ac:dyDescent="0.2">
      <c r="A124" t="s">
        <v>218</v>
      </c>
      <c r="B124" s="32" t="s">
        <v>219</v>
      </c>
      <c r="C124" s="95">
        <f>('DOE25'!L209)+('DOE25'!L227)+('DOE25'!L245+'DOE25'!L255)</f>
        <v>790003.84</v>
      </c>
      <c r="D124" s="24" t="s">
        <v>288</v>
      </c>
      <c r="E124" s="95">
        <f>+('DOE25'!L288)+('DOE25'!L307)+('DOE25'!L326)</f>
        <v>0</v>
      </c>
      <c r="F124" s="24" t="s">
        <v>288</v>
      </c>
      <c r="G124" s="24" t="s">
        <v>288</v>
      </c>
    </row>
    <row r="125" spans="1:7" x14ac:dyDescent="0.2">
      <c r="A125" t="s">
        <v>220</v>
      </c>
      <c r="B125" s="32" t="s">
        <v>221</v>
      </c>
      <c r="C125" s="95">
        <f>('DOE25'!L210)+('DOE25'!L228)+('DOE25'!L246)</f>
        <v>16503.45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528974.14</v>
      </c>
      <c r="E127" s="24" t="s">
        <v>288</v>
      </c>
      <c r="F127" s="24" t="s">
        <v>288</v>
      </c>
      <c r="G127" s="24" t="s">
        <v>288</v>
      </c>
    </row>
    <row r="128" spans="1:7" ht="12.75" thickTop="1" thickBot="1" x14ac:dyDescent="0.25">
      <c r="A128" s="33" t="s">
        <v>226</v>
      </c>
      <c r="C128" s="86">
        <f>SUM(C118:C127)</f>
        <v>8485322.5700000003</v>
      </c>
      <c r="D128" s="86">
        <f>SUM(D118:D127)</f>
        <v>528974.14</v>
      </c>
      <c r="E128" s="86">
        <f>SUM(E118:E127)</f>
        <v>158695.75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511198.2</v>
      </c>
      <c r="D130" s="24" t="s">
        <v>288</v>
      </c>
      <c r="E130" s="129">
        <f>'DOE25'!L337</f>
        <v>0</v>
      </c>
      <c r="F130" s="129">
        <f>SUM('DOE25'!L375:'DOE25'!L381)</f>
        <v>0</v>
      </c>
      <c r="G130" s="24" t="s">
        <v>288</v>
      </c>
    </row>
    <row r="131" spans="1:7" x14ac:dyDescent="0.2">
      <c r="A131" t="s">
        <v>229</v>
      </c>
      <c r="B131" s="32">
        <v>5110</v>
      </c>
      <c r="C131" s="95">
        <f>'DOE25'!L261</f>
        <v>1530000</v>
      </c>
      <c r="D131" s="24" t="s">
        <v>288</v>
      </c>
      <c r="E131" s="129">
        <f>'DOE25'!L342</f>
        <v>0</v>
      </c>
      <c r="F131" s="24" t="s">
        <v>288</v>
      </c>
      <c r="G131" s="24" t="s">
        <v>288</v>
      </c>
    </row>
    <row r="132" spans="1:7" x14ac:dyDescent="0.2">
      <c r="A132" t="s">
        <v>230</v>
      </c>
      <c r="B132" s="32">
        <v>5120</v>
      </c>
      <c r="C132" s="95">
        <f>'DOE25'!L262</f>
        <v>442696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5500</v>
      </c>
    </row>
    <row r="135" spans="1:7" x14ac:dyDescent="0.2">
      <c r="A135" t="s">
        <v>233</v>
      </c>
      <c r="B135" s="32" t="s">
        <v>234</v>
      </c>
      <c r="C135" s="95">
        <f>'DOE25'!L264</f>
        <v>55153</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153145.00000000003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-28145.000000000029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2664047.2000000002</v>
      </c>
      <c r="D144" s="141">
        <f>SUM(D130:D143)</f>
        <v>0</v>
      </c>
      <c r="E144" s="141">
        <f>SUM(E130:E143)</f>
        <v>0</v>
      </c>
      <c r="F144" s="141">
        <f>SUM(F130:F143)</f>
        <v>0</v>
      </c>
      <c r="G144" s="141">
        <f>SUM(G130:G143)</f>
        <v>5500</v>
      </c>
    </row>
    <row r="145" spans="1:9" ht="12.75" thickTop="1" thickBot="1" x14ac:dyDescent="0.25">
      <c r="A145" s="33" t="s">
        <v>244</v>
      </c>
      <c r="C145" s="86">
        <f>(C115+C128+C144)</f>
        <v>26775878.23</v>
      </c>
      <c r="D145" s="86">
        <f>(D115+D128+D144)</f>
        <v>528974.14</v>
      </c>
      <c r="E145" s="86">
        <f>(E115+E128+E144)</f>
        <v>635247.59</v>
      </c>
      <c r="F145" s="86">
        <f>(F115+F128+F144)</f>
        <v>0</v>
      </c>
      <c r="G145" s="86">
        <f>(G115+G128+G144)</f>
        <v>5500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August 2004</v>
      </c>
      <c r="C152" s="152">
        <f>'DOE25'!G492</f>
        <v>0</v>
      </c>
      <c r="D152" s="152">
        <f>'DOE25'!H492</f>
        <v>0</v>
      </c>
      <c r="E152" s="152">
        <f>'DOE25'!I492</f>
        <v>0</v>
      </c>
      <c r="F152" s="152">
        <f>'DOE25'!J492</f>
        <v>0</v>
      </c>
      <c r="G152" s="24" t="s">
        <v>288</v>
      </c>
    </row>
    <row r="153" spans="1:9" x14ac:dyDescent="0.2">
      <c r="A153" s="136" t="s">
        <v>29</v>
      </c>
      <c r="B153" s="152" t="str">
        <f>'DOE25'!F493</f>
        <v>August 2024</v>
      </c>
      <c r="C153" s="152">
        <f>'DOE25'!G493</f>
        <v>0</v>
      </c>
      <c r="D153" s="152">
        <f>'DOE25'!H493</f>
        <v>0</v>
      </c>
      <c r="E153" s="152">
        <f>'DOE25'!I493</f>
        <v>0</v>
      </c>
      <c r="F153" s="152">
        <f>'DOE25'!J493</f>
        <v>0</v>
      </c>
      <c r="G153" s="24" t="s">
        <v>288</v>
      </c>
    </row>
    <row r="154" spans="1:9" x14ac:dyDescent="0.2">
      <c r="A154" s="136" t="s">
        <v>30</v>
      </c>
      <c r="B154" s="137">
        <f>'DOE25'!F494</f>
        <v>25484800</v>
      </c>
      <c r="C154" s="137">
        <f>'DOE25'!G494</f>
        <v>0</v>
      </c>
      <c r="D154" s="137">
        <f>'DOE25'!H494</f>
        <v>0</v>
      </c>
      <c r="E154" s="137">
        <f>'DOE25'!I494</f>
        <v>0</v>
      </c>
      <c r="F154" s="137">
        <f>'DOE25'!J494</f>
        <v>0</v>
      </c>
      <c r="G154" s="24" t="s">
        <v>288</v>
      </c>
    </row>
    <row r="155" spans="1:9" x14ac:dyDescent="0.2">
      <c r="A155" s="136" t="s">
        <v>31</v>
      </c>
      <c r="B155" s="137">
        <f>'DOE25'!F495</f>
        <v>4.54</v>
      </c>
      <c r="C155" s="137">
        <f>'DOE25'!G495</f>
        <v>0</v>
      </c>
      <c r="D155" s="137">
        <f>'DOE25'!H495</f>
        <v>0</v>
      </c>
      <c r="E155" s="137">
        <f>'DOE25'!I495</f>
        <v>0</v>
      </c>
      <c r="F155" s="137">
        <f>'DOE25'!J495</f>
        <v>0</v>
      </c>
      <c r="G155" s="24" t="s">
        <v>288</v>
      </c>
    </row>
    <row r="156" spans="1:9" x14ac:dyDescent="0.2">
      <c r="A156" s="22" t="s">
        <v>32</v>
      </c>
      <c r="B156" s="137">
        <f>'DOE25'!F496</f>
        <v>10415000</v>
      </c>
      <c r="C156" s="137">
        <f>'DOE25'!G496</f>
        <v>0</v>
      </c>
      <c r="D156" s="137">
        <f>'DOE25'!H496</f>
        <v>0</v>
      </c>
      <c r="E156" s="137">
        <f>'DOE25'!I496</f>
        <v>0</v>
      </c>
      <c r="F156" s="137">
        <f>'DOE25'!J496</f>
        <v>0</v>
      </c>
      <c r="G156" s="138">
        <f>SUM(B156:F156)</f>
        <v>10415000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1972696</v>
      </c>
      <c r="C158" s="137">
        <f>'DOE25'!G498</f>
        <v>0</v>
      </c>
      <c r="D158" s="137">
        <f>'DOE25'!H498</f>
        <v>0</v>
      </c>
      <c r="E158" s="137">
        <f>'DOE25'!I498</f>
        <v>0</v>
      </c>
      <c r="F158" s="137">
        <f>'DOE25'!J498</f>
        <v>0</v>
      </c>
      <c r="G158" s="138">
        <f t="shared" si="0"/>
        <v>1972696</v>
      </c>
    </row>
    <row r="159" spans="1:9" x14ac:dyDescent="0.2">
      <c r="A159" s="22" t="s">
        <v>35</v>
      </c>
      <c r="B159" s="137">
        <f>'DOE25'!F499</f>
        <v>8885000</v>
      </c>
      <c r="C159" s="137">
        <f>'DOE25'!G499</f>
        <v>0</v>
      </c>
      <c r="D159" s="137">
        <f>'DOE25'!H499</f>
        <v>0</v>
      </c>
      <c r="E159" s="137">
        <f>'DOE25'!I499</f>
        <v>0</v>
      </c>
      <c r="F159" s="137">
        <f>'DOE25'!J499</f>
        <v>0</v>
      </c>
      <c r="G159" s="138">
        <f t="shared" si="0"/>
        <v>8885000</v>
      </c>
    </row>
    <row r="160" spans="1:9" x14ac:dyDescent="0.2">
      <c r="A160" s="22" t="s">
        <v>36</v>
      </c>
      <c r="B160" s="137">
        <f>'DOE25'!F500</f>
        <v>969557.75</v>
      </c>
      <c r="C160" s="137">
        <f>'DOE25'!G500</f>
        <v>0</v>
      </c>
      <c r="D160" s="137">
        <f>'DOE25'!H500</f>
        <v>0</v>
      </c>
      <c r="E160" s="137">
        <f>'DOE25'!I500</f>
        <v>0</v>
      </c>
      <c r="F160" s="137">
        <f>'DOE25'!J500</f>
        <v>0</v>
      </c>
      <c r="G160" s="138">
        <f t="shared" si="0"/>
        <v>969557.75</v>
      </c>
    </row>
    <row r="161" spans="1:7" x14ac:dyDescent="0.2">
      <c r="A161" s="22" t="s">
        <v>37</v>
      </c>
      <c r="B161" s="137">
        <f>'DOE25'!F501</f>
        <v>9854557.75</v>
      </c>
      <c r="C161" s="137">
        <f>'DOE25'!G501</f>
        <v>0</v>
      </c>
      <c r="D161" s="137">
        <f>'DOE25'!H501</f>
        <v>0</v>
      </c>
      <c r="E161" s="137">
        <f>'DOE25'!I501</f>
        <v>0</v>
      </c>
      <c r="F161" s="137">
        <f>'DOE25'!J501</f>
        <v>0</v>
      </c>
      <c r="G161" s="138">
        <f t="shared" si="0"/>
        <v>9854557.75</v>
      </c>
    </row>
    <row r="162" spans="1:7" x14ac:dyDescent="0.2">
      <c r="A162" s="22" t="s">
        <v>38</v>
      </c>
      <c r="B162" s="137">
        <f>'DOE25'!F502</f>
        <v>1605000</v>
      </c>
      <c r="C162" s="137">
        <f>'DOE25'!G502</f>
        <v>0</v>
      </c>
      <c r="D162" s="137">
        <f>'DOE25'!H502</f>
        <v>0</v>
      </c>
      <c r="E162" s="137">
        <f>'DOE25'!I502</f>
        <v>0</v>
      </c>
      <c r="F162" s="137">
        <f>'DOE25'!J502</f>
        <v>0</v>
      </c>
      <c r="G162" s="138">
        <f t="shared" si="0"/>
        <v>1605000</v>
      </c>
    </row>
    <row r="163" spans="1:7" x14ac:dyDescent="0.2">
      <c r="A163" s="22" t="s">
        <v>39</v>
      </c>
      <c r="B163" s="137">
        <f>'DOE25'!F503</f>
        <v>363931.75</v>
      </c>
      <c r="C163" s="137">
        <f>'DOE25'!G503</f>
        <v>0</v>
      </c>
      <c r="D163" s="137">
        <f>'DOE25'!H503</f>
        <v>0</v>
      </c>
      <c r="E163" s="137">
        <f>'DOE25'!I503</f>
        <v>0</v>
      </c>
      <c r="F163" s="137">
        <f>'DOE25'!J503</f>
        <v>0</v>
      </c>
      <c r="G163" s="138">
        <f t="shared" si="0"/>
        <v>363931.75</v>
      </c>
    </row>
    <row r="164" spans="1:7" x14ac:dyDescent="0.2">
      <c r="A164" s="22" t="s">
        <v>246</v>
      </c>
      <c r="B164" s="137">
        <f>'DOE25'!F504</f>
        <v>1968931.75</v>
      </c>
      <c r="C164" s="137">
        <f>'DOE25'!G504</f>
        <v>0</v>
      </c>
      <c r="D164" s="137">
        <f>'DOE25'!H504</f>
        <v>0</v>
      </c>
      <c r="E164" s="137">
        <f>'DOE25'!I504</f>
        <v>0</v>
      </c>
      <c r="F164" s="137">
        <f>'DOE25'!J504</f>
        <v>0</v>
      </c>
      <c r="G164" s="138">
        <f t="shared" si="0"/>
        <v>1968931.75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WINNACUNNET</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21430</v>
      </c>
    </row>
    <row r="7" spans="1:4" x14ac:dyDescent="0.2">
      <c r="B7" t="s">
        <v>701</v>
      </c>
      <c r="C7" s="179">
        <f>IF('DOE25'!I666+'DOE25'!I671=0,0,ROUND('DOE25'!I673,0))</f>
        <v>21430</v>
      </c>
    </row>
    <row r="9" spans="1:4" x14ac:dyDescent="0.2">
      <c r="A9" s="187" t="s">
        <v>94</v>
      </c>
      <c r="B9" s="188" t="s">
        <v>1588</v>
      </c>
      <c r="C9" s="181" t="s">
        <v>720</v>
      </c>
      <c r="D9" s="181" t="s">
        <v>721</v>
      </c>
    </row>
    <row r="10" spans="1:4" x14ac:dyDescent="0.2">
      <c r="A10">
        <v>1100</v>
      </c>
      <c r="B10" t="s">
        <v>702</v>
      </c>
      <c r="C10" s="179">
        <f>ROUND('DOE25'!L198+'DOE25'!L216+'DOE25'!L234+'DOE25'!L277+'DOE25'!L296+'DOE25'!L315,0)</f>
        <v>10311158</v>
      </c>
      <c r="D10" s="182">
        <f>ROUND((C10/$C$28)*100,1)</f>
        <v>40.6</v>
      </c>
    </row>
    <row r="11" spans="1:4" x14ac:dyDescent="0.2">
      <c r="A11">
        <v>1200</v>
      </c>
      <c r="B11" t="s">
        <v>703</v>
      </c>
      <c r="C11" s="179">
        <f>ROUND('DOE25'!L199+'DOE25'!L217+'DOE25'!L235+'DOE25'!L278+'DOE25'!L297+'DOE25'!L316,0)</f>
        <v>4592702</v>
      </c>
      <c r="D11" s="182">
        <f>ROUND((C11/$C$28)*100,1)</f>
        <v>18.100000000000001</v>
      </c>
    </row>
    <row r="12" spans="1:4" x14ac:dyDescent="0.2">
      <c r="A12">
        <v>1300</v>
      </c>
      <c r="B12" t="s">
        <v>704</v>
      </c>
      <c r="C12" s="179">
        <f>ROUND('DOE25'!L200+'DOE25'!L218+'DOE25'!L236+'DOE25'!L279+'DOE25'!L298+'DOE25'!L317,0)</f>
        <v>172494</v>
      </c>
      <c r="D12" s="182">
        <f>ROUND((C12/$C$28)*100,1)</f>
        <v>0.7</v>
      </c>
    </row>
    <row r="13" spans="1:4" x14ac:dyDescent="0.2">
      <c r="A13">
        <v>1400</v>
      </c>
      <c r="B13" t="s">
        <v>705</v>
      </c>
      <c r="C13" s="179">
        <f>ROUND('DOE25'!L201+'DOE25'!L219+'DOE25'!L237+'DOE25'!L280+'DOE25'!L299+'DOE25'!L318,0)</f>
        <v>863846</v>
      </c>
      <c r="D13" s="182">
        <f>ROUND((C13/$C$28)*100,1)</f>
        <v>3.4</v>
      </c>
    </row>
    <row r="14" spans="1:4" x14ac:dyDescent="0.2">
      <c r="D14" s="182"/>
    </row>
    <row r="15" spans="1:4" x14ac:dyDescent="0.2">
      <c r="A15">
        <v>2100</v>
      </c>
      <c r="B15" t="s">
        <v>706</v>
      </c>
      <c r="C15" s="179">
        <f>ROUND('DOE25'!L203+'DOE25'!L221+'DOE25'!L239+'DOE25'!L282+'DOE25'!L301+'DOE25'!L320,0)</f>
        <v>1447390</v>
      </c>
      <c r="D15" s="182">
        <f t="shared" ref="D15:D27" si="0">ROUND((C15/$C$28)*100,1)</f>
        <v>5.7</v>
      </c>
    </row>
    <row r="16" spans="1:4" x14ac:dyDescent="0.2">
      <c r="A16">
        <v>2200</v>
      </c>
      <c r="B16" t="s">
        <v>707</v>
      </c>
      <c r="C16" s="179">
        <f>ROUND('DOE25'!L204+'DOE25'!L222+'DOE25'!L240+'DOE25'!L283+'DOE25'!L302+'DOE25'!L321,0)</f>
        <v>1766202</v>
      </c>
      <c r="D16" s="182">
        <f t="shared" si="0"/>
        <v>7</v>
      </c>
    </row>
    <row r="17" spans="1:4" x14ac:dyDescent="0.2">
      <c r="A17" s="183" t="s">
        <v>723</v>
      </c>
      <c r="B17" t="s">
        <v>738</v>
      </c>
      <c r="C17" s="179">
        <f>ROUND('DOE25'!L205+'DOE25'!L210+'DOE25'!L223+'DOE25'!L228+'DOE25'!L241+'DOE25'!L246+'DOE25'!L284+'DOE25'!L289+'DOE25'!L303+'DOE25'!L308+'DOE25'!L322+'DOE25'!L327,0)</f>
        <v>1004696</v>
      </c>
      <c r="D17" s="182">
        <f t="shared" si="0"/>
        <v>4</v>
      </c>
    </row>
    <row r="18" spans="1:4" x14ac:dyDescent="0.2">
      <c r="A18">
        <v>2400</v>
      </c>
      <c r="B18" t="s">
        <v>711</v>
      </c>
      <c r="C18" s="179">
        <f>ROUND('DOE25'!L206+'DOE25'!L224+'DOE25'!L242+'DOE25'!L285+'DOE25'!L304+'DOE25'!L323,0)</f>
        <v>1189508</v>
      </c>
      <c r="D18" s="182">
        <f t="shared" si="0"/>
        <v>4.7</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2446218</v>
      </c>
      <c r="D20" s="182">
        <f t="shared" si="0"/>
        <v>9.6</v>
      </c>
    </row>
    <row r="21" spans="1:4" x14ac:dyDescent="0.2">
      <c r="A21">
        <v>2700</v>
      </c>
      <c r="B21" t="s">
        <v>710</v>
      </c>
      <c r="C21" s="179">
        <f>ROUND('DOE25'!L209+'DOE25'!L227+'DOE25'!L245+'DOE25'!L288+'DOE25'!L307+'DOE25'!L326,0)</f>
        <v>790004</v>
      </c>
      <c r="D21" s="182">
        <f t="shared" si="0"/>
        <v>3.1</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162860</v>
      </c>
      <c r="D24" s="182">
        <f t="shared" si="0"/>
        <v>0.6</v>
      </c>
    </row>
    <row r="25" spans="1:4" x14ac:dyDescent="0.2">
      <c r="A25">
        <v>5120</v>
      </c>
      <c r="B25" t="s">
        <v>716</v>
      </c>
      <c r="C25" s="179">
        <f>ROUND('DOE25'!L262+'DOE25'!L343,0)</f>
        <v>442696</v>
      </c>
      <c r="D25" s="182">
        <f t="shared" si="0"/>
        <v>1.7</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203153.26999999996</v>
      </c>
      <c r="D27" s="182">
        <f t="shared" si="0"/>
        <v>0.8</v>
      </c>
    </row>
    <row r="28" spans="1:4" x14ac:dyDescent="0.2">
      <c r="B28" s="187" t="s">
        <v>719</v>
      </c>
      <c r="C28" s="180">
        <f>SUM(C10:C27)</f>
        <v>25392927.27</v>
      </c>
      <c r="D28" s="184">
        <f>ROUND(SUM(D10:D27),0)</f>
        <v>100</v>
      </c>
    </row>
    <row r="29" spans="1:4" x14ac:dyDescent="0.2">
      <c r="A29">
        <v>4000</v>
      </c>
      <c r="B29" t="s">
        <v>724</v>
      </c>
      <c r="C29" s="179">
        <f>ROUND('DOE25'!L256+'DOE25'!L337+'DOE25'!L375+'DOE25'!L376+'DOE25'!L377+'DOE25'!L378+'DOE25'!L379+'DOE25'!L380+'DOE25'!L381,0)</f>
        <v>511198</v>
      </c>
    </row>
    <row r="30" spans="1:4" x14ac:dyDescent="0.2">
      <c r="B30" s="187" t="s">
        <v>725</v>
      </c>
      <c r="C30" s="180">
        <f>SUM(C28:C29)</f>
        <v>25904125.27</v>
      </c>
    </row>
    <row r="31" spans="1:4" x14ac:dyDescent="0.2">
      <c r="B31" s="33"/>
      <c r="C31" s="180"/>
    </row>
    <row r="32" spans="1:4" x14ac:dyDescent="0.2">
      <c r="A32">
        <v>5100</v>
      </c>
      <c r="B32" s="33" t="s">
        <v>726</v>
      </c>
      <c r="C32" s="180">
        <f>ROUND('DOE25'!L261+'DOE25'!L342,0)</f>
        <v>1530000</v>
      </c>
    </row>
    <row r="34" spans="1:4" x14ac:dyDescent="0.2">
      <c r="A34" s="187" t="s">
        <v>94</v>
      </c>
      <c r="B34" s="188" t="s">
        <v>1589</v>
      </c>
      <c r="C34" s="181" t="s">
        <v>720</v>
      </c>
      <c r="D34" s="181" t="s">
        <v>721</v>
      </c>
    </row>
    <row r="35" spans="1:4" x14ac:dyDescent="0.2">
      <c r="A35">
        <v>1100</v>
      </c>
      <c r="B35" s="185" t="s">
        <v>727</v>
      </c>
      <c r="C35" s="179">
        <f>ROUND('DOE25'!F60+'DOE25'!G60+'DOE25'!H60+'DOE25'!I60+'DOE25'!J60,0)</f>
        <v>20581544</v>
      </c>
      <c r="D35" s="182">
        <f t="shared" ref="D35:D40" si="1">ROUND((C35/$C$41)*100,1)</f>
        <v>72.599999999999994</v>
      </c>
    </row>
    <row r="36" spans="1:4" x14ac:dyDescent="0.2">
      <c r="B36" s="185" t="s">
        <v>739</v>
      </c>
      <c r="C36" s="179">
        <f>SUM('DOE25'!F112:J112)-SUM('DOE25'!G97:G110)+('DOE25'!F175+'DOE25'!F176+'DOE25'!I175+'DOE25'!I176)-C35</f>
        <v>210412.25999999791</v>
      </c>
      <c r="D36" s="182">
        <f t="shared" si="1"/>
        <v>0.7</v>
      </c>
    </row>
    <row r="37" spans="1:4" x14ac:dyDescent="0.2">
      <c r="A37" s="183" t="s">
        <v>835</v>
      </c>
      <c r="B37" s="185" t="s">
        <v>728</v>
      </c>
      <c r="C37" s="179">
        <f>ROUND('DOE25'!F117+'DOE25'!F118,0)</f>
        <v>4941517</v>
      </c>
      <c r="D37" s="182">
        <f t="shared" si="1"/>
        <v>17.399999999999999</v>
      </c>
    </row>
    <row r="38" spans="1:4" x14ac:dyDescent="0.2">
      <c r="A38" s="183" t="s">
        <v>734</v>
      </c>
      <c r="B38" s="185" t="s">
        <v>729</v>
      </c>
      <c r="C38" s="179">
        <f>ROUND(SUM('DOE25'!F140:J140)-SUM('DOE25'!F117:F119),0)</f>
        <v>1665040</v>
      </c>
      <c r="D38" s="182">
        <f t="shared" si="1"/>
        <v>5.9</v>
      </c>
    </row>
    <row r="39" spans="1:4" x14ac:dyDescent="0.2">
      <c r="A39">
        <v>4000</v>
      </c>
      <c r="B39" s="185" t="s">
        <v>730</v>
      </c>
      <c r="C39" s="179">
        <f>ROUND('DOE25'!F170+'DOE25'!G170+'DOE25'!H170+'DOE25'!I170,0)</f>
        <v>944160</v>
      </c>
      <c r="D39" s="182">
        <f t="shared" si="1"/>
        <v>3.3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28342673.259999998</v>
      </c>
      <c r="D41" s="184">
        <f>SUM(D35:D40)</f>
        <v>99.899999999999991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WINNACUNNET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2020-10-20T18:03:48Z</cp:lastPrinted>
  <dcterms:created xsi:type="dcterms:W3CDTF">1997-12-04T19:04:30Z</dcterms:created>
  <dcterms:modified xsi:type="dcterms:W3CDTF">2020-12-14T13:33:34Z</dcterms:modified>
</cp:coreProperties>
</file>