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225" yWindow="255" windowWidth="16365" windowHeight="66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10" i="12" l="1"/>
  <c r="F527" i="1"/>
  <c r="G527" i="1"/>
  <c r="H527" i="1"/>
  <c r="I527" i="1"/>
  <c r="I522" i="1"/>
  <c r="H522" i="1"/>
  <c r="G522" i="1"/>
  <c r="F522" i="1"/>
  <c r="H524" i="1"/>
  <c r="G532" i="1"/>
  <c r="F532" i="1"/>
  <c r="H583" i="1"/>
  <c r="G583" i="1"/>
  <c r="G563" i="1"/>
  <c r="H203" i="1"/>
  <c r="I203" i="1"/>
  <c r="G203" i="1"/>
  <c r="F203" i="1"/>
  <c r="H239" i="1"/>
  <c r="I199" i="1"/>
  <c r="H199" i="1"/>
  <c r="G199" i="1"/>
  <c r="F199" i="1"/>
  <c r="H235" i="1"/>
  <c r="H217" i="1"/>
  <c r="I204" i="1"/>
  <c r="G204" i="1"/>
  <c r="F204" i="1"/>
  <c r="J208" i="1"/>
  <c r="I208" i="1"/>
  <c r="H208" i="1"/>
  <c r="G208" i="1"/>
  <c r="F208" i="1"/>
  <c r="J206" i="1"/>
  <c r="H206" i="1"/>
  <c r="G206" i="1"/>
  <c r="F206" i="1"/>
  <c r="H205" i="1"/>
  <c r="I205" i="1"/>
  <c r="G205" i="1"/>
  <c r="F205" i="1"/>
  <c r="J201" i="1"/>
  <c r="I201" i="1"/>
  <c r="G201" i="1"/>
  <c r="F201" i="1"/>
  <c r="J210" i="1"/>
  <c r="I210" i="1"/>
  <c r="H210" i="1"/>
  <c r="G210" i="1"/>
  <c r="F210" i="1"/>
  <c r="H234" i="1"/>
  <c r="J198" i="1"/>
  <c r="I198" i="1"/>
  <c r="G198" i="1"/>
  <c r="F198" i="1"/>
  <c r="H283" i="1"/>
  <c r="J289" i="1"/>
  <c r="H289" i="1"/>
  <c r="G289" i="1"/>
  <c r="F289" i="1"/>
  <c r="K286" i="1"/>
  <c r="G283" i="1"/>
  <c r="F283" i="1"/>
  <c r="J277" i="1"/>
  <c r="I277" i="1"/>
  <c r="H277" i="1"/>
  <c r="G277" i="1"/>
  <c r="F277" i="1"/>
  <c r="I278" i="1"/>
  <c r="H278" i="1"/>
  <c r="G278" i="1"/>
  <c r="G282" i="1"/>
  <c r="F282" i="1"/>
  <c r="H381" i="1"/>
  <c r="F368" i="1"/>
  <c r="F369" i="1"/>
  <c r="I359" i="1"/>
  <c r="H359" i="1"/>
  <c r="G359" i="1"/>
  <c r="G653" i="1"/>
  <c r="E7" i="17"/>
  <c r="E43" i="14"/>
  <c r="D43" i="14"/>
  <c r="C28" i="14" a="1"/>
  <c r="C28" i="14"/>
  <c r="E33" i="14"/>
  <c r="D33" i="14"/>
  <c r="E21" i="14"/>
  <c r="D21" i="14"/>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c r="G29" i="13"/>
  <c r="B22" i="12"/>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3" i="15"/>
  <c r="F88" i="2"/>
  <c r="E88" i="2"/>
  <c r="D88" i="2"/>
  <c r="C88" i="2"/>
  <c r="I163" i="1"/>
  <c r="H163" i="1"/>
  <c r="G163" i="1"/>
  <c r="F163" i="1"/>
  <c r="B31" i="16"/>
  <c r="B27" i="16"/>
  <c r="B9" i="16"/>
  <c r="B5" i="16"/>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37" i="14"/>
  <c r="F36"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B29" i="14"/>
  <c r="C29" i="14" a="1"/>
  <c r="C29" i="14"/>
  <c r="B30" i="14"/>
  <c r="C30" i="14" a="1"/>
  <c r="C30" i="14"/>
  <c r="B31" i="14"/>
  <c r="C31" i="14" a="1"/>
  <c r="C31" i="14"/>
  <c r="B32" i="14"/>
  <c r="C32" i="14" a="1"/>
  <c r="C32" i="14"/>
  <c r="B25" i="14"/>
  <c r="C25" i="14" a="1"/>
  <c r="C25" i="14"/>
  <c r="F5" i="14"/>
  <c r="F24" i="14"/>
  <c r="F4" i="14"/>
  <c r="B2" i="14"/>
  <c r="A2" i="14"/>
  <c r="F33" i="13"/>
  <c r="C45" i="2"/>
  <c r="G51" i="1"/>
  <c r="F51" i="1"/>
  <c r="C37" i="10"/>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D39" i="13"/>
  <c r="G13" i="13"/>
  <c r="H13" i="13"/>
  <c r="L207" i="1"/>
  <c r="E13" i="13"/>
  <c r="C13" i="13"/>
  <c r="L225" i="1"/>
  <c r="L243" i="1"/>
  <c r="G16" i="13"/>
  <c r="H16" i="13"/>
  <c r="L210" i="1"/>
  <c r="C125" i="2"/>
  <c r="L228" i="1"/>
  <c r="L246" i="1"/>
  <c r="G5" i="13"/>
  <c r="H5" i="13"/>
  <c r="L198" i="1"/>
  <c r="L199" i="1"/>
  <c r="L200" i="1"/>
  <c r="L201" i="1"/>
  <c r="C112" i="2"/>
  <c r="L216" i="1"/>
  <c r="L217" i="1"/>
  <c r="L218" i="1"/>
  <c r="L219" i="1"/>
  <c r="L234" i="1"/>
  <c r="L235" i="1"/>
  <c r="C110" i="2"/>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c r="C15" i="13"/>
  <c r="L227" i="1"/>
  <c r="L245" i="1"/>
  <c r="G17" i="13"/>
  <c r="H17" i="13"/>
  <c r="L252" i="1"/>
  <c r="G18" i="13"/>
  <c r="H18" i="13"/>
  <c r="L253" i="1"/>
  <c r="D18" i="13"/>
  <c r="C18" i="13"/>
  <c r="G19" i="13"/>
  <c r="H19" i="13"/>
  <c r="L254" i="1"/>
  <c r="H29" i="13"/>
  <c r="L359" i="1"/>
  <c r="L360" i="1"/>
  <c r="L361" i="1"/>
  <c r="I368" i="1"/>
  <c r="J291" i="1"/>
  <c r="J310" i="1"/>
  <c r="J329" i="1"/>
  <c r="K291" i="1"/>
  <c r="K310" i="1"/>
  <c r="K329" i="1"/>
  <c r="L277" i="1"/>
  <c r="L278" i="1"/>
  <c r="E110" i="2"/>
  <c r="L279" i="1"/>
  <c r="L280" i="1"/>
  <c r="L282" i="1"/>
  <c r="L283" i="1"/>
  <c r="E119" i="2"/>
  <c r="L284" i="1"/>
  <c r="L285" i="1"/>
  <c r="L286" i="1"/>
  <c r="L287" i="1"/>
  <c r="E123" i="2"/>
  <c r="L288" i="1"/>
  <c r="L289" i="1"/>
  <c r="E125" i="2"/>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c r="L342" i="1"/>
  <c r="C32" i="10"/>
  <c r="L343" i="1"/>
  <c r="L256" i="1"/>
  <c r="L337" i="1"/>
  <c r="E130" i="2"/>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c r="G59" i="2"/>
  <c r="G61" i="2"/>
  <c r="F2" i="11"/>
  <c r="L614" i="1"/>
  <c r="H664" i="1"/>
  <c r="L613" i="1"/>
  <c r="G664" i="1"/>
  <c r="L612" i="1"/>
  <c r="F664" i="1"/>
  <c r="C40" i="10"/>
  <c r="F60" i="1"/>
  <c r="G60" i="1"/>
  <c r="H60" i="1"/>
  <c r="E56" i="2"/>
  <c r="I60" i="1"/>
  <c r="F79" i="1"/>
  <c r="C57" i="2"/>
  <c r="F94" i="1"/>
  <c r="F111" i="1"/>
  <c r="G111" i="1"/>
  <c r="H79" i="1"/>
  <c r="H94" i="1"/>
  <c r="H111" i="1"/>
  <c r="I111" i="1"/>
  <c r="I112" i="1"/>
  <c r="J111" i="1"/>
  <c r="J112" i="1"/>
  <c r="F121" i="1"/>
  <c r="F136" i="1"/>
  <c r="G121" i="1"/>
  <c r="G136" i="1"/>
  <c r="H121" i="1"/>
  <c r="H136" i="1"/>
  <c r="H140" i="1"/>
  <c r="I121" i="1"/>
  <c r="I136" i="1"/>
  <c r="J121" i="1"/>
  <c r="J136" i="1"/>
  <c r="J140" i="1"/>
  <c r="F147" i="1"/>
  <c r="F170" i="1"/>
  <c r="G147" i="1"/>
  <c r="H147" i="1"/>
  <c r="H170" i="1"/>
  <c r="I147" i="1"/>
  <c r="C12" i="10"/>
  <c r="L251" i="1"/>
  <c r="C113" i="2"/>
  <c r="L333" i="1"/>
  <c r="E113" i="2"/>
  <c r="L255" i="1"/>
  <c r="L269" i="1"/>
  <c r="L270" i="1"/>
  <c r="L350" i="1"/>
  <c r="E142" i="2"/>
  <c r="L351" i="1"/>
  <c r="E143" i="2"/>
  <c r="I666" i="1"/>
  <c r="I671" i="1"/>
  <c r="G663" i="1"/>
  <c r="I670" i="1"/>
  <c r="C42" i="10"/>
  <c r="L375" i="1"/>
  <c r="L376" i="1"/>
  <c r="L377" i="1"/>
  <c r="L378" i="1"/>
  <c r="L379" i="1"/>
  <c r="L380" i="1"/>
  <c r="L381" i="1"/>
  <c r="B2" i="10"/>
  <c r="L345" i="1"/>
  <c r="L346" i="1"/>
  <c r="E135" i="2"/>
  <c r="L347" i="1"/>
  <c r="L348" i="1"/>
  <c r="K352" i="1"/>
  <c r="L522" i="1"/>
  <c r="F550" i="1"/>
  <c r="L523" i="1"/>
  <c r="F551" i="1"/>
  <c r="L524" i="1"/>
  <c r="F552"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C131" i="2"/>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I460" i="1"/>
  <c r="J48" i="1"/>
  <c r="G47" i="2"/>
  <c r="C49" i="2"/>
  <c r="D56" i="2"/>
  <c r="F56" i="2"/>
  <c r="C58"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20" i="2"/>
  <c r="E121" i="2"/>
  <c r="E124" i="2"/>
  <c r="F128" i="2"/>
  <c r="G128" i="2"/>
  <c r="C130"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G619" i="1"/>
  <c r="H19" i="1"/>
  <c r="G620" i="1"/>
  <c r="I19" i="1"/>
  <c r="G621" i="1"/>
  <c r="F32" i="1"/>
  <c r="F52" i="1"/>
  <c r="H618" i="1"/>
  <c r="G32" i="1"/>
  <c r="G52" i="1"/>
  <c r="H619" i="1"/>
  <c r="H32" i="1"/>
  <c r="I32" i="1"/>
  <c r="H51" i="1"/>
  <c r="I51" i="1"/>
  <c r="F178" i="1"/>
  <c r="I178" i="1"/>
  <c r="F184" i="1"/>
  <c r="G184" i="1"/>
  <c r="H184" i="1"/>
  <c r="I184" i="1"/>
  <c r="J184" i="1"/>
  <c r="J193"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c r="G353" i="1"/>
  <c r="H291" i="1"/>
  <c r="I291" i="1"/>
  <c r="F310" i="1"/>
  <c r="G310" i="1"/>
  <c r="H310" i="1"/>
  <c r="I310" i="1"/>
  <c r="F329" i="1"/>
  <c r="G329" i="1"/>
  <c r="H329" i="1"/>
  <c r="I329" i="1"/>
  <c r="F338" i="1"/>
  <c r="G338" i="1"/>
  <c r="H338" i="1"/>
  <c r="I338" i="1"/>
  <c r="J338" i="1"/>
  <c r="K338" i="1"/>
  <c r="K339" i="1"/>
  <c r="K353" i="1"/>
  <c r="F363" i="1"/>
  <c r="G363" i="1"/>
  <c r="H363" i="1"/>
  <c r="I363" i="1"/>
  <c r="G635" i="1"/>
  <c r="J363" i="1"/>
  <c r="K363" i="1"/>
  <c r="I369" i="1"/>
  <c r="F370" i="1"/>
  <c r="G370" i="1"/>
  <c r="H370" i="1"/>
  <c r="L382" i="1"/>
  <c r="F383" i="1"/>
  <c r="G383" i="1"/>
  <c r="H383" i="1"/>
  <c r="I383" i="1"/>
  <c r="J383" i="1"/>
  <c r="K383" i="1"/>
  <c r="F394" i="1"/>
  <c r="G394" i="1"/>
  <c r="H394" i="1"/>
  <c r="H409" i="1"/>
  <c r="H645" i="1"/>
  <c r="I394" i="1"/>
  <c r="F402" i="1"/>
  <c r="G402" i="1"/>
  <c r="H402" i="1"/>
  <c r="I402" i="1"/>
  <c r="F408" i="1"/>
  <c r="G408" i="1"/>
  <c r="G409" i="1"/>
  <c r="H646" i="1"/>
  <c r="H408" i="1"/>
  <c r="I408" i="1"/>
  <c r="F409" i="1"/>
  <c r="H644"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c r="H653" i="1"/>
  <c r="G654" i="1"/>
  <c r="H654" i="1"/>
  <c r="G655" i="1"/>
  <c r="H655" i="1"/>
  <c r="H656" i="1"/>
  <c r="J656" i="1"/>
  <c r="G62" i="2"/>
  <c r="I170" i="1"/>
  <c r="G477" i="1"/>
  <c r="G553" i="1"/>
  <c r="D6" i="13"/>
  <c r="C6" i="13"/>
  <c r="H663" i="1"/>
  <c r="C121" i="2"/>
  <c r="C120" i="2"/>
  <c r="C13" i="10"/>
  <c r="A40" i="12"/>
  <c r="J258" i="1"/>
  <c r="J272" i="1"/>
  <c r="H477" i="1"/>
  <c r="H625" i="1"/>
  <c r="J625" i="1"/>
  <c r="G662" i="1"/>
  <c r="D50" i="2"/>
  <c r="F258" i="1"/>
  <c r="F272" i="1"/>
  <c r="C20" i="10"/>
  <c r="I370" i="1"/>
  <c r="H635" i="1"/>
  <c r="J635" i="1"/>
  <c r="L257" i="1"/>
  <c r="H193" i="1"/>
  <c r="H194" i="1"/>
  <c r="G630" i="1"/>
  <c r="J630" i="1"/>
  <c r="C11" i="10"/>
  <c r="A31" i="12"/>
  <c r="E114" i="2"/>
  <c r="E85" i="2"/>
  <c r="E91" i="2"/>
  <c r="H112" i="1"/>
  <c r="L402" i="1"/>
  <c r="C139" i="2"/>
  <c r="C91" i="2"/>
  <c r="H462" i="1"/>
  <c r="H642" i="1"/>
  <c r="J642" i="1"/>
  <c r="F339" i="1"/>
  <c r="F353" i="1"/>
  <c r="L561" i="1"/>
  <c r="G462" i="1"/>
  <c r="H641" i="1"/>
  <c r="J641" i="1"/>
  <c r="E103" i="2"/>
  <c r="D18" i="2"/>
  <c r="H553" i="1"/>
  <c r="L310" i="1"/>
  <c r="I546" i="1"/>
  <c r="F462" i="1"/>
  <c r="H640" i="1"/>
  <c r="J640" i="1"/>
  <c r="K606" i="1"/>
  <c r="G649" i="1"/>
  <c r="H258" i="1"/>
  <c r="H272" i="1"/>
  <c r="I52" i="1"/>
  <c r="H621" i="1"/>
  <c r="J621" i="1"/>
  <c r="D31" i="2"/>
  <c r="E31" i="2"/>
  <c r="C18" i="2"/>
  <c r="F18" i="2"/>
  <c r="L271" i="1"/>
  <c r="F662" i="1"/>
  <c r="F572" i="1"/>
  <c r="L420" i="1"/>
  <c r="D91" i="2"/>
  <c r="D81" i="2"/>
  <c r="E78" i="2"/>
  <c r="G546" i="1"/>
  <c r="J644" i="1"/>
  <c r="J646" i="1"/>
  <c r="F112" i="1"/>
  <c r="L394" i="1"/>
  <c r="C138" i="2"/>
  <c r="L363" i="1"/>
  <c r="B17" i="16"/>
  <c r="B19" i="16"/>
  <c r="B28" i="16"/>
  <c r="L329" i="1"/>
  <c r="E122" i="2"/>
  <c r="L291" i="1"/>
  <c r="H624" i="1"/>
  <c r="J624" i="1"/>
  <c r="B33" i="16"/>
  <c r="L615" i="1"/>
  <c r="K599" i="1"/>
  <c r="G648" i="1"/>
  <c r="K572" i="1"/>
  <c r="L571" i="1"/>
  <c r="H572" i="1"/>
  <c r="L566" i="1"/>
  <c r="L572" i="1"/>
  <c r="I572" i="1"/>
  <c r="K546" i="1"/>
  <c r="H52" i="1"/>
  <c r="H620" i="1"/>
  <c r="C114" i="2"/>
  <c r="G112" i="1"/>
  <c r="B10" i="16"/>
  <c r="E118" i="2"/>
  <c r="L248" i="1"/>
  <c r="L212" i="1"/>
  <c r="H648" i="1"/>
  <c r="J645" i="1"/>
  <c r="G626" i="1"/>
  <c r="L530" i="1"/>
  <c r="H546" i="1"/>
  <c r="G164" i="2"/>
  <c r="G161" i="2"/>
  <c r="G157" i="2"/>
  <c r="G156" i="2"/>
  <c r="G81" i="2"/>
  <c r="C78" i="2"/>
  <c r="F78" i="2"/>
  <c r="F81" i="2"/>
  <c r="C70" i="2"/>
  <c r="D62" i="2"/>
  <c r="D63" i="2"/>
  <c r="E57" i="2"/>
  <c r="E62" i="2"/>
  <c r="E63" i="2"/>
  <c r="C26" i="10"/>
  <c r="C18" i="10"/>
  <c r="J546" i="1"/>
  <c r="I477" i="1"/>
  <c r="H626" i="1"/>
  <c r="J477" i="1"/>
  <c r="H627" i="1"/>
  <c r="F477" i="1"/>
  <c r="H623" i="1"/>
  <c r="J623" i="1"/>
  <c r="L434" i="1"/>
  <c r="L428" i="1"/>
  <c r="I258" i="1"/>
  <c r="I272" i="1"/>
  <c r="K258" i="1"/>
  <c r="K272" i="1"/>
  <c r="G193" i="1"/>
  <c r="B13" i="16"/>
  <c r="F193" i="1"/>
  <c r="J553" i="1"/>
  <c r="I553" i="1"/>
  <c r="K550" i="1"/>
  <c r="F553" i="1"/>
  <c r="L352" i="1"/>
  <c r="F130" i="2"/>
  <c r="F144" i="2" s="1"/>
  <c r="F145" i="2" s="1"/>
  <c r="G170" i="1"/>
  <c r="B12" i="16"/>
  <c r="J618" i="1"/>
  <c r="K552" i="1"/>
  <c r="I25" i="13"/>
  <c r="K551" i="1"/>
  <c r="L535" i="1"/>
  <c r="K501" i="1"/>
  <c r="I461" i="1"/>
  <c r="I453" i="1"/>
  <c r="I447" i="1"/>
  <c r="G643" i="1"/>
  <c r="H339" i="1"/>
  <c r="H353" i="1"/>
  <c r="C123" i="2"/>
  <c r="E109" i="2"/>
  <c r="E115" i="2"/>
  <c r="C56" i="2"/>
  <c r="F663" i="1"/>
  <c r="I663" i="1"/>
  <c r="C25" i="10"/>
  <c r="C21" i="10"/>
  <c r="C17" i="10"/>
  <c r="D19" i="13"/>
  <c r="C19" i="13"/>
  <c r="D14" i="13"/>
  <c r="C14" i="13"/>
  <c r="C62" i="2"/>
  <c r="G22" i="13"/>
  <c r="C22" i="13"/>
  <c r="L540" i="1"/>
  <c r="K504" i="1"/>
  <c r="L383" i="1"/>
  <c r="G637" i="1"/>
  <c r="J637" i="1"/>
  <c r="G258" i="1"/>
  <c r="G272" i="1"/>
  <c r="C142" i="2"/>
  <c r="C111" i="2"/>
  <c r="H662" i="1"/>
  <c r="C15" i="10"/>
  <c r="A13" i="12"/>
  <c r="D29" i="13"/>
  <c r="C29" i="13"/>
  <c r="D12" i="13"/>
  <c r="C12" i="13"/>
  <c r="D5" i="13"/>
  <c r="C5" i="13"/>
  <c r="E8" i="13"/>
  <c r="C8" i="13"/>
  <c r="C35" i="10"/>
  <c r="C29" i="10"/>
  <c r="E81" i="2"/>
  <c r="G650" i="1"/>
  <c r="J650" i="1"/>
  <c r="L545" i="1"/>
  <c r="L525" i="1"/>
  <c r="J339" i="1"/>
  <c r="J353" i="1"/>
  <c r="D127" i="2"/>
  <c r="D128" i="2"/>
  <c r="D145" i="2"/>
  <c r="C124" i="2"/>
  <c r="C122" i="2"/>
  <c r="C118" i="2"/>
  <c r="C19" i="10"/>
  <c r="C16" i="10"/>
  <c r="D17" i="13"/>
  <c r="C17" i="13"/>
  <c r="D7" i="13"/>
  <c r="C7" i="13"/>
  <c r="E16" i="13"/>
  <c r="C16" i="13"/>
  <c r="C10" i="10"/>
  <c r="C109" i="2"/>
  <c r="L230" i="1"/>
  <c r="G24" i="14"/>
  <c r="H24" i="14"/>
  <c r="I24" i="14"/>
  <c r="L338" i="1"/>
  <c r="F62" i="2"/>
  <c r="F63" i="2"/>
  <c r="C23" i="10"/>
  <c r="G163" i="2"/>
  <c r="G162" i="2"/>
  <c r="G160" i="2"/>
  <c r="G159" i="2"/>
  <c r="G158" i="2"/>
  <c r="G103" i="2"/>
  <c r="F103" i="2"/>
  <c r="C103" i="2"/>
  <c r="F91" i="2"/>
  <c r="E50" i="2"/>
  <c r="E51" i="2"/>
  <c r="C50" i="2"/>
  <c r="F31" i="2"/>
  <c r="C31" i="2"/>
  <c r="E18" i="2"/>
  <c r="E144" i="2"/>
  <c r="F50" i="2"/>
  <c r="C24" i="10"/>
  <c r="H31" i="13"/>
  <c r="H33" i="13"/>
  <c r="I339" i="1"/>
  <c r="I353" i="1"/>
  <c r="J651" i="1"/>
  <c r="L408" i="1"/>
  <c r="C140" i="2"/>
  <c r="C141" i="2"/>
  <c r="I193" i="1"/>
  <c r="J655" i="1"/>
  <c r="J654" i="1"/>
  <c r="G21" i="2"/>
  <c r="G31" i="2"/>
  <c r="J32" i="1"/>
  <c r="J435" i="1"/>
  <c r="F435" i="1"/>
  <c r="K435" i="1"/>
  <c r="G134" i="2"/>
  <c r="G144" i="2"/>
  <c r="G145" i="2"/>
  <c r="G31" i="13"/>
  <c r="J194" i="1"/>
  <c r="G647" i="1"/>
  <c r="G140" i="1"/>
  <c r="B11" i="16"/>
  <c r="F140" i="1"/>
  <c r="F194" i="1"/>
  <c r="G63" i="2"/>
  <c r="J619" i="1"/>
  <c r="G42" i="2"/>
  <c r="G50" i="2"/>
  <c r="J51" i="1"/>
  <c r="G16" i="2"/>
  <c r="G18" i="2"/>
  <c r="J19" i="1"/>
  <c r="G622" i="1"/>
  <c r="F546" i="1"/>
  <c r="H435" i="1"/>
  <c r="J620" i="1"/>
  <c r="D103" i="2"/>
  <c r="I140" i="1"/>
  <c r="A22" i="12"/>
  <c r="J653" i="1"/>
  <c r="G572" i="1"/>
  <c r="I435" i="1"/>
  <c r="G435" i="1"/>
  <c r="I664" i="1"/>
  <c r="H661" i="1"/>
  <c r="C81" i="2"/>
  <c r="E128" i="2"/>
  <c r="H649" i="1"/>
  <c r="J649" i="1"/>
  <c r="F661" i="1"/>
  <c r="F665" i="1"/>
  <c r="F668" i="1"/>
  <c r="H665" i="1"/>
  <c r="H668" i="1"/>
  <c r="D51" i="2"/>
  <c r="F51" i="2"/>
  <c r="G36" i="14"/>
  <c r="H36" i="14"/>
  <c r="I36" i="14"/>
  <c r="E145" i="2"/>
  <c r="E104" i="2"/>
  <c r="C36" i="10"/>
  <c r="L435" i="1"/>
  <c r="G639" i="1"/>
  <c r="J639" i="1"/>
  <c r="I662" i="1"/>
  <c r="G104" i="2"/>
  <c r="L339" i="1"/>
  <c r="L353" i="1"/>
  <c r="G634" i="1"/>
  <c r="J634" i="1"/>
  <c r="I194" i="1"/>
  <c r="G631" i="1"/>
  <c r="J631" i="1"/>
  <c r="G636" i="1"/>
  <c r="J636" i="1"/>
  <c r="G51" i="2"/>
  <c r="D104" i="2"/>
  <c r="L409" i="1"/>
  <c r="C27" i="10"/>
  <c r="C28" i="10"/>
  <c r="D23" i="10"/>
  <c r="G4" i="14"/>
  <c r="H4" i="14"/>
  <c r="I4" i="14"/>
  <c r="L546" i="1"/>
  <c r="J626" i="1"/>
  <c r="F104" i="2"/>
  <c r="B14" i="16"/>
  <c r="B22" i="16"/>
  <c r="G628" i="1"/>
  <c r="J628" i="1"/>
  <c r="E33" i="13"/>
  <c r="D35" i="13"/>
  <c r="J648" i="1"/>
  <c r="L258" i="1"/>
  <c r="L272" i="1"/>
  <c r="G633" i="1"/>
  <c r="J633" i="1"/>
  <c r="C115" i="2"/>
  <c r="C63" i="2"/>
  <c r="C104" i="2"/>
  <c r="C39" i="10"/>
  <c r="G33" i="13"/>
  <c r="C144" i="2"/>
  <c r="C128" i="2"/>
  <c r="D31" i="13"/>
  <c r="C31" i="13"/>
  <c r="I462" i="1"/>
  <c r="H643" i="1"/>
  <c r="J643" i="1"/>
  <c r="G661" i="1"/>
  <c r="G665" i="1"/>
  <c r="G673" i="1"/>
  <c r="C5" i="10"/>
  <c r="C25" i="13"/>
  <c r="I33" i="13"/>
  <c r="K553" i="1"/>
  <c r="C51" i="2"/>
  <c r="G632" i="1"/>
  <c r="J632" i="1"/>
  <c r="G194" i="1"/>
  <c r="G629" i="1"/>
  <c r="J629" i="1"/>
  <c r="G627" i="1"/>
  <c r="J627" i="1"/>
  <c r="J52" i="1"/>
  <c r="H622" i="1"/>
  <c r="J622" i="1"/>
  <c r="C38" i="10"/>
  <c r="H673" i="1"/>
  <c r="C6" i="10"/>
  <c r="F673" i="1"/>
  <c r="C4" i="10"/>
  <c r="I661" i="1"/>
  <c r="I665" i="1"/>
  <c r="I673" i="1"/>
  <c r="C7" i="10"/>
  <c r="G668" i="1"/>
  <c r="C145" i="2"/>
  <c r="D25" i="10"/>
  <c r="G638" i="1"/>
  <c r="J638" i="1"/>
  <c r="H647" i="1"/>
  <c r="J647" i="1"/>
  <c r="D22" i="10"/>
  <c r="D18" i="10"/>
  <c r="D27" i="10"/>
  <c r="D15" i="10"/>
  <c r="D21" i="10"/>
  <c r="D24" i="10"/>
  <c r="D20" i="10"/>
  <c r="D11" i="10"/>
  <c r="D12" i="10"/>
  <c r="D13" i="10"/>
  <c r="D17" i="10"/>
  <c r="D19" i="10"/>
  <c r="D10" i="10"/>
  <c r="D26" i="10"/>
  <c r="C30" i="10"/>
  <c r="D16" i="10"/>
  <c r="D33" i="13"/>
  <c r="D36" i="13"/>
  <c r="C41" i="10"/>
  <c r="D38" i="10"/>
  <c r="H657" i="1"/>
  <c r="I668" i="1"/>
  <c r="D28" i="10"/>
  <c r="D37" i="10"/>
  <c r="D36" i="10"/>
  <c r="D35" i="10"/>
  <c r="D40" i="10"/>
  <c r="D39" i="10"/>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<sst xmlns="http://schemas.openxmlformats.org/spreadsheetml/2006/main" count="5577" uniqueCount="1677">
  <si>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</si>
  <si>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</si>
  <si>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</si>
  <si>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</si>
  <si>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</si>
  <si>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</si>
  <si>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</si>
  <si>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</si>
  <si>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</si>
  <si>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</si>
  <si>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</si>
  <si>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</si>
  <si>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</si>
  <si>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</si>
  <si>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</si>
  <si>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</si>
  <si>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</si>
  <si>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</si>
  <si>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</si>
  <si>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</si>
  <si>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</si>
  <si>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</si>
  <si>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</si>
  <si>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</si>
  <si>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</si>
  <si>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</si>
  <si>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</si>
  <si>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</si>
  <si>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</si>
  <si>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</si>
  <si>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</si>
  <si>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</si>
  <si>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</si>
  <si>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</si>
  <si>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</si>
  <si>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</si>
  <si>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</si>
  <si>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</si>
  <si>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</si>
  <si>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</si>
  <si>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</si>
  <si>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</si>
  <si>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</si>
  <si>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</si>
  <si>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</si>
  <si>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</si>
  <si>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</si>
  <si>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</si>
  <si>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</si>
  <si>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</si>
  <si>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</si>
  <si>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</si>
  <si>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</si>
  <si>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</si>
  <si>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</si>
  <si>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</si>
  <si>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</si>
  <si>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</si>
  <si>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</si>
  <si>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</si>
  <si>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</si>
  <si>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</si>
  <si>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</si>
  <si>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</si>
  <si>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</si>
  <si>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</si>
  <si>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</si>
  <si>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</si>
  <si>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</si>
  <si>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</si>
  <si>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</si>
  <si>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</si>
  <si>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</si>
  <si>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</si>
  <si>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</si>
  <si>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</si>
  <si>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</si>
  <si>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</si>
  <si>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</si>
  <si>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</si>
  <si>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</si>
  <si>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</si>
  <si>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</si>
  <si>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</si>
  <si>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</si>
  <si>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</si>
  <si>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</si>
  <si>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</si>
  <si>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</si>
  <si>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</si>
  <si>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</si>
  <si>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</si>
  <si>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</si>
  <si>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</si>
  <si>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</si>
  <si>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</si>
  <si>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</si>
  <si>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</si>
  <si>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</si>
  <si>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</si>
  <si>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</si>
  <si>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</si>
  <si>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</si>
  <si>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</si>
  <si>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</si>
  <si>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</si>
  <si>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</si>
  <si>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</si>
  <si>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</si>
  <si>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</si>
  <si>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</si>
  <si>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</si>
  <si>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</si>
  <si>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</si>
  <si>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</si>
  <si>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</si>
  <si>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</si>
  <si>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</si>
  <si>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</si>
  <si>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</si>
  <si>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</si>
  <si>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</si>
  <si>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</si>
  <si>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</si>
  <si>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</si>
  <si>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</si>
  <si>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</si>
  <si>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</si>
  <si>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</si>
  <si>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</si>
  <si>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</si>
  <si>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</si>
  <si>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</si>
  <si>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</si>
  <si>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</si>
  <si>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</si>
  <si>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</si>
  <si>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</si>
  <si>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</si>
  <si>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</si>
  <si>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</si>
  <si>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</si>
  <si>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</si>
  <si>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</si>
  <si>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</si>
  <si>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</si>
  <si>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</si>
  <si>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</si>
  <si>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</si>
  <si>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</si>
  <si>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</si>
  <si>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</si>
  <si>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</si>
  <si>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</si>
  <si>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</si>
  <si>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</si>
  <si>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</si>
  <si>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</si>
  <si>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</si>
  <si>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</si>
  <si>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</si>
  <si>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</si>
  <si>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</si>
  <si>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</si>
  <si>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</si>
  <si>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</si>
  <si>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</si>
  <si>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</si>
  <si>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</si>
  <si>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</si>
  <si>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</si>
  <si>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</si>
  <si>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</si>
  <si>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</si>
  <si>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</si>
  <si>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</si>
  <si>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</si>
  <si>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</si>
  <si>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</si>
  <si>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</si>
  <si>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</si>
  <si>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</si>
  <si>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</si>
  <si>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</si>
  <si>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</si>
  <si>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</si>
  <si>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</si>
  <si>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</si>
  <si>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</si>
  <si>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</si>
  <si>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</si>
  <si>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</si>
  <si>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</si>
  <si>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</si>
  <si>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</si>
  <si>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</si>
  <si>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</si>
  <si>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</si>
  <si>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</si>
  <si>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</si>
  <si>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</si>
  <si>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</si>
  <si>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</si>
  <si>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</si>
  <si>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</si>
  <si>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</si>
  <si>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</si>
  <si>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</si>
  <si>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</si>
  <si>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</si>
  <si>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</si>
  <si>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</si>
  <si>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</si>
  <si>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</si>
  <si>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</si>
  <si>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</si>
  <si>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</si>
  <si>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</si>
  <si>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</si>
  <si>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</si>
  <si>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</si>
  <si>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</si>
  <si>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</si>
  <si>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</si>
  <si>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</si>
  <si>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</si>
  <si>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</si>
  <si>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</si>
  <si>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</si>
  <si>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</si>
  <si>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</si>
  <si>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</si>
  <si>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</si>
  <si>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</si>
  <si>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</si>
  <si>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</si>
  <si>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</si>
  <si>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</si>
  <si>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</si>
  <si>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</si>
  <si>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</si>
  <si>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</si>
  <si>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</si>
  <si>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</si>
  <si>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</si>
  <si>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</si>
  <si>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</si>
  <si>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</si>
  <si>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</si>
  <si>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</si>
  <si>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</si>
  <si>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</si>
  <si>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</si>
  <si>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</si>
  <si>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</si>
  <si>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</si>
  <si>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</si>
  <si>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</si>
  <si>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</si>
  <si>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</si>
  <si>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</si>
  <si>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</si>
  <si>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</si>
  <si>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</si>
  <si>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</si>
  <si>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</si>
  <si>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</si>
  <si>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</si>
  <si>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</si>
  <si>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</si>
  <si>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</si>
  <si>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</si>
  <si>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</si>
  <si>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</si>
  <si>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</si>
  <si>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</si>
  <si>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</si>
  <si>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</si>
  <si>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</si>
  <si>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</si>
  <si>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</si>
  <si>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</si>
  <si>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</si>
  <si>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</si>
  <si>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</si>
  <si>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</si>
  <si>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</si>
  <si>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</si>
  <si>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</si>
  <si>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</si>
  <si>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</si>
  <si>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</si>
  <si>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</si>
  <si>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</si>
  <si>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</si>
  <si>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</si>
  <si>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</si>
  <si>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</si>
  <si>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</si>
  <si>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</si>
  <si>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</si>
  <si>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</si>
  <si>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</si>
  <si>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</si>
  <si>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</si>
  <si>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</si>
  <si>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</si>
  <si>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</si>
  <si>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</si>
  <si>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</si>
  <si>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</si>
  <si>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</si>
  <si>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</si>
  <si>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</si>
  <si>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</si>
  <si>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</si>
  <si>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</si>
  <si>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</si>
  <si>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</si>
  <si>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</si>
  <si>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</si>
  <si>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</si>
  <si>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</si>
  <si>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</si>
  <si>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</si>
  <si>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</si>
  <si>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</si>
  <si>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</si>
  <si>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</si>
  <si>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</si>
  <si>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</si>
  <si>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</si>
  <si>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</si>
  <si>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</si>
  <si>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</si>
  <si>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</si>
  <si>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</si>
  <si>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</si>
  <si>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</si>
  <si>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</si>
  <si>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</si>
  <si>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</si>
  <si>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</si>
  <si>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</si>
  <si>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</si>
  <si>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</si>
  <si>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</si>
  <si>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</si>
  <si>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</si>
  <si>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</si>
  <si>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</si>
  <si>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</si>
  <si>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</si>
  <si>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</si>
  <si>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</si>
  <si>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</si>
  <si>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</si>
  <si>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</si>
  <si>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</si>
  <si>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</si>
  <si>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</si>
  <si>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</si>
  <si>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</si>
  <si>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</si>
  <si>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</si>
  <si>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</si>
  <si>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</si>
  <si>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</si>
  <si>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</si>
  <si>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</si>
  <si>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</si>
  <si>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</si>
  <si>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</si>
  <si>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</si>
  <si>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</si>
  <si>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</si>
  <si>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</si>
  <si>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</si>
  <si>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</si>
  <si>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</si>
  <si>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</si>
  <si>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</si>
  <si>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</si>
  <si>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</si>
  <si>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</si>
  <si>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</si>
  <si>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</si>
  <si>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</si>
  <si>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</si>
  <si>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</si>
  <si>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</si>
  <si>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</si>
  <si>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</si>
  <si>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</si>
  <si>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</si>
  <si>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</si>
  <si>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</si>
  <si>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</si>
  <si>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</si>
  <si>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</si>
  <si>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</si>
  <si>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</si>
  <si>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</si>
  <si>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</si>
  <si>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</si>
  <si>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</si>
  <si>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</si>
  <si>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</si>
  <si>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</si>
  <si>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</si>
  <si>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</si>
  <si>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</si>
  <si>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</si>
  <si>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</si>
  <si>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</si>
  <si>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</si>
  <si>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</si>
  <si>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</si>
  <si>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</si>
  <si>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</si>
  <si>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</si>
  <si>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</si>
  <si>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</si>
  <si>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</si>
  <si>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</si>
  <si>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</si>
  <si>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</si>
  <si>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</si>
  <si>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</si>
  <si>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</si>
  <si>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</si>
  <si>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</si>
  <si>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</si>
  <si>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</si>
  <si>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</si>
  <si>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</si>
  <si>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</si>
  <si>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</si>
  <si>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</si>
  <si>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</si>
  <si>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</si>
  <si>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</si>
  <si>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</si>
  <si>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</si>
  <si>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</si>
  <si>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</si>
  <si>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</si>
  <si>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</si>
  <si>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</si>
  <si>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</si>
  <si>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</si>
  <si>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</si>
  <si>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</si>
  <si>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</si>
  <si>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</si>
  <si>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</si>
  <si>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</si>
  <si>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</si>
  <si>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</si>
  <si>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</si>
  <si>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</si>
  <si>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</si>
  <si>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</si>
  <si>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</si>
  <si>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</si>
  <si>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</si>
  <si>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</si>
  <si>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</si>
  <si>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</si>
  <si>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</si>
  <si>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</si>
  <si>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</si>
  <si>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</si>
  <si>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</si>
  <si>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</si>
  <si>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</si>
  <si>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</si>
  <si>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</si>
  <si>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</si>
  <si>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</si>
  <si>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</si>
  <si>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</si>
  <si>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</si>
  <si>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</si>
  <si>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</si>
  <si>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</si>
  <si>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</si>
  <si>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</si>
  <si>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</si>
  <si>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</si>
  <si>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</si>
  <si>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</si>
  <si>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</si>
  <si>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</si>
  <si>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</si>
  <si>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</si>
  <si>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</si>
  <si>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</si>
  <si>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</si>
  <si>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</si>
  <si>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</si>
  <si>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</si>
  <si>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</si>
  <si>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</si>
  <si>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</si>
  <si>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</si>
  <si>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</si>
  <si>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</si>
  <si>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</si>
  <si>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</si>
  <si>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</si>
  <si>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</si>
  <si>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</si>
  <si>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</si>
  <si>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</si>
  <si>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</si>
  <si>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</si>
  <si>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</si>
  <si>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</si>
  <si>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</si>
  <si>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</si>
  <si>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</si>
  <si>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</si>
  <si>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</si>
  <si>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</si>
  <si>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</si>
  <si>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</si>
  <si>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</si>
  <si>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</si>
  <si>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</si>
  <si>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</si>
  <si>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</si>
  <si>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</si>
  <si>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</si>
  <si>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</si>
  <si>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</si>
  <si>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</si>
  <si>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</si>
  <si>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</si>
  <si>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</si>
  <si>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</si>
  <si>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</si>
  <si>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</si>
  <si>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</si>
  <si>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</si>
  <si>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</si>
  <si>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</si>
  <si>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</si>
  <si>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</si>
  <si>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</si>
  <si>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</si>
  <si>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</si>
  <si>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</si>
  <si>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</si>
  <si>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</si>
  <si>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</si>
  <si>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</si>
  <si>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</si>
  <si>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</si>
  <si>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</si>
  <si>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</si>
  <si>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</si>
  <si>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</si>
  <si>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</si>
  <si>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</si>
  <si>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</si>
  <si>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</si>
  <si>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</si>
  <si>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</si>
  <si>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</si>
  <si>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</si>
  <si>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</si>
  <si>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</si>
  <si>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</si>
  <si>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</si>
  <si>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</si>
  <si>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</si>
  <si>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</si>
  <si>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</si>
  <si>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</si>
  <si>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</si>
  <si>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</si>
  <si>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</si>
  <si>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</si>
  <si>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</si>
  <si>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</si>
  <si>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</si>
  <si>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</si>
  <si>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</si>
  <si>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</si>
  <si>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</si>
  <si>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</si>
  <si>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</si>
  <si>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</si>
  <si>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</si>
  <si>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</si>
  <si>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</si>
  <si>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</si>
  <si>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</si>
  <si>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</si>
  <si>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</si>
  <si>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</si>
  <si>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</si>
  <si>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</si>
  <si>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</si>
  <si>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</si>
  <si>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</si>
  <si>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</si>
  <si>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</si>
  <si>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</si>
  <si>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</si>
  <si>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</si>
  <si>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</si>
  <si>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</si>
  <si>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</si>
  <si>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</si>
  <si>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</si>
  <si>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</si>
  <si>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</si>
  <si>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</si>
  <si>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</si>
  <si>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</si>
  <si>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</si>
  <si>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</si>
  <si>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</si>
  <si>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</si>
  <si>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</si>
  <si>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</si>
  <si>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</si>
  <si>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</si>
  <si>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</si>
  <si>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</si>
  <si>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</si>
  <si>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</si>
  <si>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</si>
  <si>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</si>
  <si>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</si>
  <si>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</si>
  <si>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</si>
  <si>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</si>
  <si>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</si>
  <si>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</si>
  <si>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</si>
  <si>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</si>
  <si>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</si>
  <si>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</si>
  <si>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</si>
  <si>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</si>
  <si>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</si>
  <si>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</si>
  <si>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</si>
  <si>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</si>
  <si>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</si>
  <si>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</si>
  <si>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</si>
  <si>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</si>
  <si>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</si>
  <si>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</si>
  <si>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</si>
  <si>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</si>
  <si>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</si>
  <si>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</si>
  <si>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</si>
  <si>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</si>
  <si>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</si>
  <si>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</si>
  <si>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</si>
  <si>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</si>
  <si>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</si>
  <si>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</si>
  <si>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</si>
  <si>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</si>
  <si>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</si>
  <si>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</si>
  <si>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</si>
  <si>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</si>
  <si>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</si>
  <si>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</si>
  <si>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</si>
  <si>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</si>
  <si>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</si>
  <si>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</si>
  <si>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</si>
  <si>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</si>
  <si>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</si>
  <si>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</si>
  <si>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</si>
  <si>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</si>
  <si>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</si>
  <si>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</si>
  <si>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</si>
  <si>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</si>
  <si>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</si>
  <si>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</si>
  <si>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</si>
  <si>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</si>
  <si>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</si>
  <si>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</si>
  <si>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</si>
  <si>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</si>
  <si>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</si>
  <si>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</si>
  <si>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</si>
  <si>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</si>
  <si>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</si>
  <si>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</si>
  <si>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</si>
  <si>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</si>
  <si>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</si>
  <si>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</si>
  <si>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</si>
  <si>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</si>
  <si>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</si>
  <si>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</si>
  <si>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</si>
  <si>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</si>
  <si>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</si>
  <si>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</si>
  <si>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</si>
  <si>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</si>
  <si>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</si>
  <si>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</si>
  <si>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</si>
  <si>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</si>
  <si>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</si>
  <si>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</si>
  <si>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</si>
  <si>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</si>
  <si>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</si>
  <si>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</si>
  <si>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</si>
  <si>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</si>
  <si>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</si>
  <si>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</si>
  <si>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</si>
  <si>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</si>
  <si>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</si>
  <si>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</si>
  <si>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</si>
  <si>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</si>
  <si>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</si>
  <si>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</si>
  <si>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</si>
  <si>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</si>
  <si>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</si>
  <si>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</si>
  <si>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</si>
  <si>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</si>
  <si>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</si>
  <si>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</si>
  <si>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</si>
  <si>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</si>
  <si>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</si>
  <si>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</si>
  <si>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</si>
  <si>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</si>
  <si>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</si>
  <si>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</si>
  <si>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</si>
  <si>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</si>
  <si>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</si>
  <si>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</si>
  <si>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</si>
  <si>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</si>
  <si>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</si>
  <si>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</si>
  <si>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</si>
  <si>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</si>
  <si>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</si>
  <si>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</si>
  <si>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</si>
  <si>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</si>
  <si>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</si>
  <si>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</si>
  <si>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</si>
  <si>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</si>
  <si>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</si>
  <si>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</si>
  <si>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</si>
  <si>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</si>
  <si>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</si>
  <si>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</si>
  <si>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</si>
  <si>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</si>
  <si>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</si>
  <si>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</si>
  <si>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</si>
  <si>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</si>
  <si>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</si>
  <si>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</si>
  <si>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</si>
  <si>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</si>
  <si>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</si>
  <si>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</si>
  <si>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</si>
  <si>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</si>
  <si>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</si>
  <si>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</si>
  <si>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</si>
  <si>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</si>
  <si>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</si>
  <si>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</si>
  <si>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</si>
  <si>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</si>
  <si>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</si>
  <si>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</si>
  <si>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</si>
  <si>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</si>
  <si>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</si>
  <si>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</si>
  <si>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</si>
  <si>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</si>
  <si>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</si>
  <si>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</si>
  <si>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</si>
  <si>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</si>
  <si>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</si>
  <si>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</si>
  <si>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</si>
  <si>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</si>
  <si>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</si>
  <si>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</si>
  <si>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</si>
  <si>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</si>
  <si>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</si>
  <si>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</si>
  <si>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</si>
  <si>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</si>
  <si>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</si>
  <si>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</si>
  <si>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</si>
  <si>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</si>
  <si>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</si>
  <si>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</si>
  <si>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</si>
  <si>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</si>
  <si>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</si>
  <si>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</si>
  <si>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</si>
  <si>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</si>
  <si>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</si>
  <si>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</si>
  <si>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</si>
  <si>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</si>
  <si>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</si>
  <si>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</si>
  <si>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</si>
  <si>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</si>
  <si>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</si>
  <si>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</si>
  <si>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</si>
  <si>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</si>
  <si>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</si>
  <si>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</si>
  <si>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</si>
  <si>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</si>
  <si>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</si>
  <si>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</si>
  <si>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</si>
  <si>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</si>
  <si>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</si>
  <si>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</si>
  <si>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</si>
  <si>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</si>
  <si>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</si>
  <si>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</si>
  <si>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</si>
  <si>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</si>
  <si>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</si>
  <si>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</si>
  <si>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</si>
  <si>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</si>
  <si>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</si>
  <si>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</si>
  <si>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</si>
  <si>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</si>
  <si>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</si>
  <si>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</si>
  <si>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</si>
  <si>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</si>
  <si>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</si>
  <si>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</si>
  <si>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</si>
  <si>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</si>
  <si>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</si>
  <si>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</si>
  <si>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</si>
  <si>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</si>
  <si>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</si>
  <si>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</si>
  <si>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</si>
  <si>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</si>
  <si>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</si>
  <si>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</si>
  <si>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</si>
  <si>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</si>
  <si>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</si>
  <si>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</si>
  <si>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</si>
  <si>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</si>
  <si>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</si>
  <si>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</si>
  <si>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</si>
  <si>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</si>
  <si>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</si>
  <si>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</si>
  <si>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</si>
  <si>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</si>
  <si>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</si>
  <si>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</si>
  <si>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</si>
  <si>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</si>
  <si>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</si>
  <si>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</si>
  <si>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</si>
  <si>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</si>
  <si>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</si>
  <si>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</si>
  <si>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</si>
  <si>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</si>
  <si>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</si>
  <si>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</si>
  <si>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</si>
  <si>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</si>
  <si>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</si>
  <si>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</si>
  <si>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</si>
  <si>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</si>
  <si>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</si>
  <si>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</si>
  <si>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</si>
  <si>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</si>
  <si>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</si>
  <si>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</si>
  <si>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</si>
  <si>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</si>
  <si>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</si>
  <si>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</si>
  <si>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</si>
  <si>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</si>
  <si>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</si>
  <si>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</si>
  <si>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</si>
  <si>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</si>
  <si>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</si>
  <si>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</si>
  <si>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</si>
  <si>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</si>
  <si>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</si>
  <si>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</si>
  <si>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</si>
  <si>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</si>
  <si>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</si>
  <si>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</si>
  <si>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</si>
  <si>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</si>
  <si>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</si>
  <si>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</si>
  <si>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</si>
  <si>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</si>
  <si>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</si>
  <si>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</si>
  <si>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</si>
  <si>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</si>
  <si>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</si>
  <si>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</si>
  <si>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</si>
  <si>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</si>
  <si>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</si>
  <si>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</si>
  <si>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</si>
  <si>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</si>
  <si>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</si>
  <si>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</si>
  <si>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</si>
  <si>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</si>
  <si>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</si>
  <si>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</si>
  <si>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</si>
  <si>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</si>
  <si>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</si>
  <si>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</si>
  <si>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</si>
  <si>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</si>
  <si>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</si>
  <si>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</si>
  <si>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</si>
  <si>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</si>
  <si>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</si>
  <si>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</si>
  <si>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</si>
  <si>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</si>
  <si>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</si>
  <si>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</si>
  <si>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</si>
  <si>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</si>
  <si>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</si>
  <si>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</si>
  <si>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</si>
  <si>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</si>
  <si>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</si>
  <si>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</si>
  <si>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</si>
  <si>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</si>
  <si>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</si>
  <si>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</si>
  <si>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</si>
  <si>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</si>
  <si>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</si>
  <si>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</si>
  <si>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</si>
  <si>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</si>
  <si>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</si>
  <si>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</si>
  <si>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</si>
  <si>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</si>
  <si>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</si>
  <si>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</si>
  <si>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</si>
  <si>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</si>
  <si>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</si>
  <si>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</si>
  <si>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</si>
  <si>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</si>
  <si>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</si>
  <si>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</si>
  <si>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</si>
  <si>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</si>
  <si>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</si>
  <si>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</si>
  <si>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</si>
  <si>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</si>
  <si>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</si>
  <si>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</si>
  <si>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</si>
  <si>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</si>
  <si>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</si>
  <si>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</si>
  <si>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</si>
  <si>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</si>
  <si>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</si>
  <si>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</si>
  <si>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</si>
  <si>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</si>
  <si>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</si>
  <si>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</si>
  <si>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</si>
  <si>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</si>
  <si>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</si>
  <si>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</si>
  <si>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</si>
  <si>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</si>
  <si>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</si>
  <si>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</si>
  <si>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</si>
  <si>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</si>
  <si>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</si>
  <si>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</si>
  <si>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</si>
  <si>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</si>
  <si>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</si>
  <si>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</si>
  <si>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</si>
  <si>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</si>
  <si>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</si>
  <si>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</si>
  <si>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</si>
  <si>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</si>
  <si>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</si>
  <si>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</si>
  <si>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</si>
  <si>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</si>
  <si>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</si>
  <si>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</si>
  <si>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</si>
  <si>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</si>
  <si>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</si>
  <si>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</si>
  <si>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</si>
  <si>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</si>
  <si>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</si>
  <si>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</si>
  <si>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</si>
  <si>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</si>
  <si>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</si>
  <si>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</si>
  <si>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</si>
  <si>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</si>
  <si>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</si>
  <si>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</si>
  <si>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</si>
  <si>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</si>
  <si>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</si>
  <si>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</si>
  <si>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</si>
  <si>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</si>
  <si>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</si>
  <si>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</si>
  <si>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</si>
  <si>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</si>
  <si>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</si>
  <si>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</si>
  <si>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</si>
  <si>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</si>
  <si>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</si>
  <si>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</si>
  <si>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</si>
  <si>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</si>
  <si>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</si>
  <si>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</si>
  <si>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</si>
  <si>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</si>
  <si>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</si>
  <si>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</si>
  <si>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</si>
  <si>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</si>
  <si>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</si>
  <si>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</si>
  <si>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</si>
  <si>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</si>
  <si>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</si>
  <si>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</si>
  <si>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</si>
  <si>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</si>
  <si>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</si>
  <si>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</si>
  <si>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</si>
  <si>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</si>
  <si>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</si>
  <si>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</si>
  <si>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</si>
  <si>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</si>
  <si>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</si>
  <si>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</si>
  <si>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</si>
  <si>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</si>
  <si>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</si>
  <si>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</si>
  <si>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</si>
  <si>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</si>
  <si>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</si>
  <si>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</si>
  <si>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</si>
  <si>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</si>
  <si>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</si>
  <si>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</si>
  <si>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</si>
  <si>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</si>
  <si>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</si>
  <si>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</si>
  <si>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</si>
  <si>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</si>
  <si>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</si>
  <si>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</si>
  <si>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</si>
  <si>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</si>
  <si>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</si>
  <si>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</si>
  <si>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</si>
  <si>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</si>
  <si>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</si>
  <si>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</si>
  <si>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</si>
  <si>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</si>
  <si>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</si>
  <si>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</si>
  <si>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</si>
  <si>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</si>
  <si>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</si>
  <si>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</si>
  <si>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</si>
  <si>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</si>
  <si>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</si>
  <si>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</si>
  <si>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</si>
  <si>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</si>
  <si>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</si>
  <si>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</si>
  <si>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</si>
  <si>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</si>
  <si>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</si>
  <si>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</si>
  <si>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</si>
  <si>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</si>
  <si>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</si>
  <si>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</si>
  <si>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</si>
  <si>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</si>
  <si>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</si>
  <si>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</si>
  <si>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</si>
  <si>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</si>
  <si>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</si>
  <si>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</si>
  <si>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</si>
  <si>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</si>
  <si>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</si>
  <si>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</si>
  <si>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</si>
  <si>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</si>
  <si>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</si>
  <si>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</si>
  <si>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</si>
  <si>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</si>
  <si>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</si>
  <si>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</si>
  <si>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</si>
  <si>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</si>
  <si>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</si>
  <si>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</si>
  <si>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</si>
  <si>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</si>
  <si>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</si>
  <si>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</si>
  <si>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</si>
  <si>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</si>
  <si>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</si>
  <si>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</si>
  <si>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</si>
  <si>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</si>
  <si>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</si>
  <si>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</si>
  <si>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</si>
  <si>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</si>
  <si>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</si>
  <si>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</si>
  <si>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</si>
  <si>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</si>
  <si>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</si>
  <si>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</si>
  <si>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</si>
  <si>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</si>
  <si>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</si>
  <si>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</si>
  <si>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</si>
  <si>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</si>
  <si>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</si>
  <si>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</si>
  <si>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</si>
  <si>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</si>
  <si>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</si>
  <si>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</si>
  <si>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</si>
  <si>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</si>
  <si>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</si>
  <si>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</si>
  <si>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</si>
  <si>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</si>
  <si>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</si>
  <si>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</si>
  <si>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</si>
  <si>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</si>
  <si>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</si>
  <si>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</si>
  <si>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</si>
  <si>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</si>
  <si>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</si>
  <si>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</si>
  <si>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</si>
  <si>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</si>
  <si>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</si>
  <si>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</si>
  <si>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</si>
  <si>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</si>
  <si>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</si>
  <si>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</si>
  <si>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</si>
  <si>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</si>
  <si>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</si>
  <si>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</si>
  <si>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</si>
  <si>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</si>
  <si>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</si>
  <si>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</si>
  <si>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</si>
  <si>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</si>
  <si>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</si>
  <si>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</si>
  <si>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</si>
  <si>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</si>
  <si>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</si>
  <si>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</si>
  <si>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</si>
  <si>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</si>
  <si>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</si>
  <si>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</si>
  <si>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</si>
  <si>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</si>
  <si>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</si>
  <si>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</si>
  <si>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</si>
  <si>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</si>
  <si>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</si>
  <si>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</si>
  <si>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</si>
  <si>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</si>
  <si>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</si>
  <si>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</si>
  <si>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</si>
  <si>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</si>
  <si>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</si>
  <si>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</si>
  <si>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</si>
  <si>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</si>
  <si>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</si>
  <si>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</si>
  <si>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</si>
  <si>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</si>
  <si>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</si>
  <si>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</si>
  <si>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</si>
  <si>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</si>
  <si>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</si>
  <si>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</si>
  <si>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</si>
  <si>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</si>
  <si>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</si>
  <si>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</si>
  <si>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</si>
  <si>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</si>
  <si>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</si>
  <si>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</si>
  <si>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</si>
  <si>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</si>
  <si>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</si>
  <si>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</si>
  <si>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</si>
  <si>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</si>
  <si>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</si>
  <si>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</si>
  <si>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</si>
  <si>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</si>
  <si>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</si>
  <si>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</si>
  <si>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</si>
  <si>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</si>
  <si>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</si>
  <si>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</si>
  <si>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</si>
  <si>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</si>
  <si>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</si>
  <si>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</si>
  <si>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</si>
  <si>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</si>
  <si>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</si>
  <si>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</si>
  <si>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</si>
  <si>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</si>
  <si>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</si>
  <si>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</si>
  <si>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</si>
  <si>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</si>
  <si>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</si>
  <si>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</si>
  <si>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</si>
  <si>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</si>
  <si>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</si>
  <si>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</si>
  <si>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</si>
  <si>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</si>
  <si>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</si>
  <si>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</si>
  <si>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</si>
  <si>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</si>
  <si>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</si>
  <si>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</si>
  <si>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</si>
  <si>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</si>
  <si>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</si>
  <si>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</si>
  <si>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</si>
  <si>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</si>
  <si>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</si>
  <si>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</si>
  <si>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</si>
  <si>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</si>
  <si>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</si>
  <si>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</si>
  <si>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</si>
  <si>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</si>
  <si>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</si>
  <si>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</si>
  <si>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</si>
  <si>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</si>
  <si>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</si>
  <si>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</si>
  <si>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</si>
  <si>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</si>
  <si>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</si>
  <si>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</si>
  <si>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</si>
  <si>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</si>
  <si>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</si>
  <si>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</si>
  <si>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</si>
  <si>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</si>
  <si>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</si>
  <si>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</si>
  <si>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</si>
  <si>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</si>
  <si>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</si>
  <si>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</si>
  <si>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</si>
  <si>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</si>
  <si>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</si>
  <si>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</si>
  <si>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</si>
  <si>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</si>
  <si>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</si>
  <si>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</si>
  <si>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</si>
  <si>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</si>
  <si>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</si>
  <si>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</si>
  <si>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</si>
  <si>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</si>
  <si>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</si>
  <si>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</si>
  <si>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</si>
  <si>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</si>
  <si>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</si>
  <si>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</si>
  <si>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</si>
  <si>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</si>
  <si>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</si>
  <si>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</si>
  <si>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</si>
  <si>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</si>
  <si>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</si>
  <si>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</si>
  <si>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</si>
  <si>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</si>
  <si>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</si>
  <si>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</si>
  <si>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</si>
  <si>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</si>
  <si>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</si>
  <si>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</si>
  <si>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</si>
  <si>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</si>
  <si>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</si>
  <si>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</si>
  <si>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</si>
  <si>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</si>
  <si>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</si>
  <si>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</si>
  <si>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</si>
  <si>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</si>
  <si>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</si>
  <si>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</si>
  <si>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</si>
  <si>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</si>
  <si>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</si>
  <si>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</si>
  <si>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</si>
  <si>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</si>
  <si>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</si>
  <si>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</si>
  <si>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</si>
  <si>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</si>
  <si>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</si>
  <si>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</si>
  <si>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</si>
  <si>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</si>
  <si>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</si>
  <si>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</si>
  <si>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</si>
  <si>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</si>
  <si>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</si>
  <si>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</si>
  <si>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</si>
  <si>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</si>
  <si>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</si>
  <si>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</si>
  <si>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</si>
  <si>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</si>
  <si>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</si>
  <si>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</si>
  <si>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</si>
  <si>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</si>
  <si>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</si>
  <si>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</si>
  <si>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</si>
  <si>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</si>
  <si>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</si>
  <si>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</si>
  <si>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</si>
  <si>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</si>
  <si>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</si>
  <si>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</si>
  <si>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</si>
  <si>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</si>
  <si>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</si>
  <si>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</si>
  <si>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</si>
  <si>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</si>
  <si>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</si>
  <si>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</si>
  <si>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</si>
  <si>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</si>
  <si>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</si>
  <si>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</si>
  <si>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</si>
  <si>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</si>
  <si>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</si>
  <si>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</si>
  <si>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</si>
  <si>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</si>
  <si>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</si>
  <si>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</si>
  <si>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</si>
  <si>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</si>
  <si>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</si>
  <si>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</si>
  <si>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</si>
  <si>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</si>
  <si>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</si>
  <si>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</si>
  <si>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</si>
  <si>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</si>
  <si>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</si>
  <si>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</si>
  <si>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</si>
  <si>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</si>
  <si>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</si>
  <si>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</si>
  <si>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</si>
  <si>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</si>
  <si>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</si>
  <si>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</si>
  <si>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</si>
  <si>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</si>
  <si>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</si>
  <si>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</si>
  <si>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</si>
  <si>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</si>
  <si>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</si>
  <si>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</si>
  <si>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</si>
  <si>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</si>
  <si>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</si>
  <si>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</si>
  <si>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</si>
  <si>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</si>
  <si>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</si>
  <si>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</si>
  <si>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</si>
  <si>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</si>
  <si>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</si>
  <si>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</si>
  <si>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</si>
  <si>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</si>
  <si>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</si>
  <si>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</si>
  <si>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</si>
  <si>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</si>
  <si>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</si>
  <si>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</si>
  <si>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</si>
  <si>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</si>
  <si>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</si>
  <si>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</si>
  <si>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</si>
  <si>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</si>
  <si>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</si>
  <si>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</si>
  <si>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</si>
  <si>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</si>
  <si>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</si>
  <si>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</si>
  <si>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</si>
  <si>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</si>
  <si>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</si>
  <si>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</si>
  <si>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</si>
  <si>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</si>
  <si>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</si>
  <si>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</si>
  <si>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</si>
  <si>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</si>
  <si>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</si>
  <si>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</si>
  <si>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</si>
  <si>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</si>
  <si>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</si>
  <si>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</si>
  <si>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</si>
  <si>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</si>
  <si>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</si>
  <si>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</si>
  <si>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</si>
  <si>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</si>
  <si>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</si>
  <si>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</si>
  <si>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</si>
  <si>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</si>
  <si>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</si>
  <si>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</si>
  <si>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</si>
  <si>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</si>
  <si>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</si>
  <si>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</si>
  <si>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</si>
  <si>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</si>
  <si>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</si>
  <si>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</si>
  <si>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</si>
  <si>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</si>
  <si>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</si>
  <si>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</si>
  <si>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</si>
  <si>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</si>
  <si>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</si>
  <si>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</si>
  <si>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</si>
  <si>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</si>
  <si>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</si>
  <si>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</si>
  <si>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</si>
  <si>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</si>
  <si>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</si>
  <si>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</si>
  <si>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</si>
  <si>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</si>
  <si>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</si>
  <si>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</si>
  <si>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</si>
  <si>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</si>
  <si>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</si>
  <si>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</si>
  <si>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</si>
  <si>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</si>
  <si>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</si>
  <si>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</si>
  <si>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</si>
  <si>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</si>
  <si>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</si>
  <si>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</si>
  <si>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</si>
  <si>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</si>
  <si>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</si>
  <si>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</si>
  <si>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</si>
  <si>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</si>
  <si>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</si>
  <si>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</si>
  <si>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</si>
  <si>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</si>
  <si>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</si>
  <si>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</si>
  <si>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</si>
  <si>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</si>
  <si>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</si>
  <si>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</si>
  <si>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</si>
  <si>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</si>
  <si>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</si>
  <si>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</si>
  <si>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</si>
  <si>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</si>
  <si>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</si>
  <si>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</si>
  <si>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</si>
  <si>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</si>
  <si>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</si>
  <si>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</si>
  <si>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</si>
  <si>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</si>
  <si>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</si>
  <si>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</si>
  <si>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</si>
  <si>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</si>
  <si>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Auburn School District</t>
  </si>
  <si>
    <t>auditor rounding</t>
  </si>
  <si>
    <t>6/2018</t>
  </si>
  <si>
    <t>8/33</t>
  </si>
  <si>
    <t>Student record changeds from parent paid to Candia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</si>
</sst>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50" fillId="0" borderId="28" applyNumberFormat="0" applyFill="0" applyAlignment="0" applyProtection="0"/>
    <xf numFmtId="0" fontId="51" fillId="0" borderId="29" applyNumberFormat="0" applyFill="0" applyAlignment="0" applyProtection="0"/>
    <xf numFmtId="0" fontId="52" fillId="0" borderId="30" applyNumberFormat="0" applyFill="0" applyAlignment="0" applyProtection="0"/>
    <xf numFmtId="0" fontId="52" fillId="0" borderId="0" applyNumberFormat="0" applyFill="0" applyBorder="0" applyAlignment="0" applyProtection="0"/>
    <xf numFmtId="0" fontId="53" fillId="10" borderId="0" applyNumberFormat="0" applyBorder="0" applyAlignment="0" applyProtection="0"/>
    <xf numFmtId="0" fontId="54" fillId="11" borderId="0" applyNumberFormat="0" applyBorder="0" applyAlignment="0" applyProtection="0"/>
    <xf numFmtId="0" fontId="55" fillId="12" borderId="0" applyNumberFormat="0" applyBorder="0" applyAlignment="0" applyProtection="0"/>
    <xf numFmtId="0" fontId="56" fillId="13" borderId="31" applyNumberFormat="0" applyAlignment="0" applyProtection="0"/>
    <xf numFmtId="0" fontId="57" fillId="14" borderId="32" applyNumberFormat="0" applyAlignment="0" applyProtection="0"/>
    <xf numFmtId="0" fontId="58" fillId="14" borderId="31" applyNumberFormat="0" applyAlignment="0" applyProtection="0"/>
    <xf numFmtId="0" fontId="59" fillId="0" borderId="33" applyNumberFormat="0" applyFill="0" applyAlignment="0" applyProtection="0"/>
    <xf numFmtId="0" fontId="60" fillId="15" borderId="34" applyNumberFormat="0" applyAlignment="0" applyProtection="0"/>
    <xf numFmtId="0" fontId="61" fillId="0" borderId="0" applyNumberFormat="0" applyFill="0" applyBorder="0" applyAlignment="0" applyProtection="0"/>
    <xf numFmtId="0" fontId="62" fillId="0" borderId="0" applyNumberFormat="0" applyFill="0" applyBorder="0" applyAlignment="0" applyProtection="0"/>
    <xf numFmtId="0" fontId="63" fillId="0" borderId="36" applyNumberFormat="0" applyFill="0" applyAlignment="0" applyProtection="0"/>
    <xf numFmtId="0" fontId="6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64" fillId="20" borderId="0" applyNumberFormat="0" applyBorder="0" applyAlignment="0" applyProtection="0"/>
    <xf numFmtId="0" fontId="6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64" fillId="24" borderId="0" applyNumberFormat="0" applyBorder="0" applyAlignment="0" applyProtection="0"/>
    <xf numFmtId="0" fontId="6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64" fillId="28" borderId="0" applyNumberFormat="0" applyBorder="0" applyAlignment="0" applyProtection="0"/>
    <xf numFmtId="0" fontId="6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64" fillId="32" borderId="0" applyNumberFormat="0" applyBorder="0" applyAlignment="0" applyProtection="0"/>
    <xf numFmtId="0" fontId="64"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64" fillId="36" borderId="0" applyNumberFormat="0" applyBorder="0" applyAlignment="0" applyProtection="0"/>
    <xf numFmtId="0" fontId="64"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64" fillId="40" borderId="0" applyNumberFormat="0" applyBorder="0" applyAlignment="0" applyProtection="0"/>
    <xf numFmtId="0" fontId="4" fillId="0" borderId="0"/>
    <xf numFmtId="0" fontId="65" fillId="0" borderId="0" applyNumberFormat="0" applyFill="0" applyBorder="0" applyAlignment="0" applyProtection="0"/>
    <xf numFmtId="0" fontId="4" fillId="16" borderId="35" applyNumberFormat="0" applyFont="0" applyAlignment="0" applyProtection="0"/>
    <xf numFmtId="0" fontId="3" fillId="0" borderId="0"/>
  </cellStyleXfs>
  <cellXfs count="393">
    <xf numFmtId="0" fontId="0" fillId="0" borderId="0" xfId="0"/>
    <xf numFmtId="164" fontId="5" fillId="0" borderId="0" xfId="0" applyNumberFormat="1" applyFont="1" applyAlignment="1" applyProtection="1">
      <alignment horizontal="left"/>
    </xf>
    <xf numFmtId="165" fontId="5" fillId="0" borderId="0" xfId="0" applyNumberFormat="1" applyFont="1" applyAlignment="1" applyProtection="1">
      <alignment horizontal="left"/>
    </xf>
    <xf numFmtId="0" fontId="5" fillId="0" borderId="0" xfId="0" applyFont="1"/>
    <xf numFmtId="0" fontId="5" fillId="0" borderId="0" xfId="0" applyFont="1" applyProtection="1">
      <protection locked="0"/>
    </xf>
    <xf numFmtId="164" fontId="5" fillId="0" borderId="0" xfId="0" applyNumberFormat="1" applyFont="1" applyAlignment="1" applyProtection="1">
      <alignment horizontal="center"/>
    </xf>
    <xf numFmtId="165" fontId="5" fillId="0" borderId="0" xfId="0" applyNumberFormat="1" applyFont="1" applyAlignment="1" applyProtection="1">
      <alignment horizontal="center"/>
    </xf>
    <xf numFmtId="165" fontId="5" fillId="0" borderId="0" xfId="0" applyNumberFormat="1" applyFont="1" applyProtection="1"/>
    <xf numFmtId="165" fontId="6" fillId="0" borderId="0" xfId="0" applyNumberFormat="1" applyFont="1" applyProtection="1">
      <protection locked="0"/>
    </xf>
    <xf numFmtId="164" fontId="6" fillId="0" borderId="0" xfId="0" applyNumberFormat="1" applyFont="1" applyProtection="1">
      <protection locked="0"/>
    </xf>
    <xf numFmtId="4" fontId="6" fillId="0" borderId="0" xfId="0" applyNumberFormat="1" applyFont="1" applyProtection="1">
      <protection locked="0"/>
    </xf>
    <xf numFmtId="0" fontId="5" fillId="0" borderId="1" xfId="0" applyFont="1" applyBorder="1"/>
    <xf numFmtId="0" fontId="0" fillId="0" borderId="2" xfId="0" applyBorder="1"/>
    <xf numFmtId="40" fontId="5" fillId="0" borderId="0" xfId="0" applyNumberFormat="1" applyFont="1"/>
    <xf numFmtId="40" fontId="5" fillId="0" borderId="0" xfId="0" applyNumberFormat="1" applyFont="1" applyAlignment="1" applyProtection="1">
      <alignment horizontal="left"/>
    </xf>
    <xf numFmtId="40" fontId="5" fillId="0" borderId="0" xfId="0" quotePrefix="1" applyNumberFormat="1" applyFont="1" applyAlignment="1" applyProtection="1">
      <alignment horizontal="center"/>
    </xf>
    <xf numFmtId="40" fontId="5" fillId="0" borderId="0" xfId="0" applyNumberFormat="1" applyFont="1" applyAlignment="1" applyProtection="1">
      <alignment horizontal="center"/>
    </xf>
    <xf numFmtId="40" fontId="6" fillId="0" borderId="0" xfId="0" applyNumberFormat="1" applyFont="1" applyAlignment="1" applyProtection="1">
      <alignment horizontal="left"/>
      <protection locked="0"/>
    </xf>
    <xf numFmtId="40" fontId="6" fillId="0" borderId="0" xfId="0" applyNumberFormat="1" applyFont="1" applyProtection="1">
      <protection locked="0"/>
    </xf>
    <xf numFmtId="40" fontId="5" fillId="0" borderId="0" xfId="0" applyNumberFormat="1" applyFont="1" applyProtection="1"/>
    <xf numFmtId="40" fontId="0" fillId="0" borderId="0" xfId="0" applyNumberFormat="1"/>
    <xf numFmtId="0" fontId="0" fillId="0" borderId="0" xfId="0" applyProtection="1">
      <protection locked="0"/>
    </xf>
    <xf numFmtId="40" fontId="7" fillId="0" borderId="0" xfId="0" applyNumberFormat="1" applyFont="1" applyProtection="1"/>
    <xf numFmtId="0" fontId="5" fillId="0" borderId="0" xfId="0" applyFont="1" applyAlignment="1">
      <alignment horizontal="center"/>
    </xf>
    <xf numFmtId="40" fontId="5" fillId="2" borderId="0" xfId="0" applyNumberFormat="1" applyFont="1" applyFill="1" applyAlignment="1" applyProtection="1">
      <alignment horizontal="left"/>
    </xf>
    <xf numFmtId="40" fontId="9" fillId="0" borderId="0" xfId="0" applyNumberFormat="1" applyFont="1" applyAlignment="1" applyProtection="1">
      <alignment horizontal="center"/>
    </xf>
    <xf numFmtId="40" fontId="9" fillId="0" borderId="0" xfId="0" applyNumberFormat="1" applyFont="1" applyAlignment="1" applyProtection="1">
      <alignment horizontal="left"/>
    </xf>
    <xf numFmtId="0" fontId="10" fillId="0" borderId="0" xfId="0" applyFont="1"/>
    <xf numFmtId="0" fontId="11" fillId="0" borderId="0" xfId="0" applyFont="1"/>
    <xf numFmtId="164" fontId="9" fillId="0" borderId="0" xfId="0" applyNumberFormat="1" applyFont="1" applyAlignment="1" applyProtection="1">
      <alignment horizontal="left"/>
    </xf>
    <xf numFmtId="164" fontId="10" fillId="0" borderId="0" xfId="0" applyNumberFormat="1" applyFont="1" applyAlignment="1" applyProtection="1">
      <alignment horizontal="left"/>
    </xf>
    <xf numFmtId="165" fontId="12" fillId="0" borderId="0" xfId="0" applyNumberFormat="1" applyFont="1" applyProtection="1">
      <protection locked="0"/>
    </xf>
    <xf numFmtId="0" fontId="0" fillId="0" borderId="0" xfId="0" applyAlignment="1">
      <alignment horizontal="center"/>
    </xf>
    <xf numFmtId="0" fontId="13" fillId="0" borderId="0" xfId="0" applyFont="1"/>
    <xf numFmtId="0" fontId="9" fillId="0" borderId="0" xfId="0" applyFont="1"/>
    <xf numFmtId="165" fontId="15" fillId="0" borderId="0" xfId="0" applyNumberFormat="1" applyFont="1" applyProtection="1">
      <protection locked="0"/>
    </xf>
    <xf numFmtId="165" fontId="5" fillId="0" borderId="0" xfId="0" applyNumberFormat="1" applyFont="1" applyBorder="1" applyAlignment="1" applyProtection="1">
      <alignment horizontal="left"/>
    </xf>
    <xf numFmtId="165" fontId="5" fillId="0" borderId="0" xfId="0" applyNumberFormat="1" applyFont="1" applyBorder="1" applyAlignment="1" applyProtection="1">
      <alignment horizontal="center"/>
    </xf>
    <xf numFmtId="164" fontId="9" fillId="0" borderId="3" xfId="0" applyNumberFormat="1" applyFont="1" applyBorder="1" applyAlignment="1" applyProtection="1">
      <alignment horizontal="left"/>
    </xf>
    <xf numFmtId="165" fontId="5" fillId="0" borderId="3" xfId="0" applyNumberFormat="1" applyFont="1" applyBorder="1" applyAlignment="1" applyProtection="1">
      <alignment horizontal="left"/>
    </xf>
    <xf numFmtId="165" fontId="5" fillId="0" borderId="3" xfId="0" applyNumberFormat="1" applyFont="1" applyBorder="1" applyAlignment="1" applyProtection="1">
      <alignment horizontal="center"/>
    </xf>
    <xf numFmtId="40" fontId="5" fillId="0" borderId="3" xfId="0" applyNumberFormat="1" applyFont="1" applyBorder="1" applyProtection="1"/>
    <xf numFmtId="40" fontId="0" fillId="0" borderId="3" xfId="0" applyNumberFormat="1" applyBorder="1"/>
    <xf numFmtId="0" fontId="13" fillId="0" borderId="3" xfId="0" applyFont="1" applyBorder="1"/>
    <xf numFmtId="0" fontId="5" fillId="0" borderId="3" xfId="0" applyFont="1" applyBorder="1" applyAlignment="1">
      <alignment horizontal="center"/>
    </xf>
    <xf numFmtId="40" fontId="5" fillId="2" borderId="3" xfId="0" applyNumberFormat="1" applyFont="1" applyFill="1" applyBorder="1" applyAlignment="1" applyProtection="1">
      <alignment horizontal="left"/>
    </xf>
    <xf numFmtId="0" fontId="9" fillId="0" borderId="3" xfId="0" applyFont="1" applyBorder="1"/>
    <xf numFmtId="40" fontId="5" fillId="0" borderId="3" xfId="0" applyNumberFormat="1" applyFont="1" applyBorder="1"/>
    <xf numFmtId="165" fontId="5" fillId="0" borderId="4" xfId="0" applyNumberFormat="1" applyFont="1" applyBorder="1" applyAlignment="1" applyProtection="1">
      <alignment horizontal="left"/>
    </xf>
    <xf numFmtId="40" fontId="5" fillId="2" borderId="4" xfId="0" applyNumberFormat="1" applyFont="1" applyFill="1" applyBorder="1" applyAlignment="1" applyProtection="1">
      <alignment horizontal="left"/>
    </xf>
    <xf numFmtId="164" fontId="9" fillId="0" borderId="4" xfId="0" applyNumberFormat="1" applyFont="1" applyBorder="1" applyAlignment="1" applyProtection="1">
      <alignment horizontal="left"/>
    </xf>
    <xf numFmtId="165" fontId="5"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3" fillId="0" borderId="0" xfId="0" applyFont="1" applyBorder="1"/>
    <xf numFmtId="0" fontId="9" fillId="0" borderId="0" xfId="0" applyFont="1" applyBorder="1"/>
    <xf numFmtId="40" fontId="5" fillId="0" borderId="0" xfId="0" applyNumberFormat="1" applyFont="1" applyBorder="1"/>
    <xf numFmtId="49" fontId="5" fillId="0" borderId="0" xfId="0" applyNumberFormat="1" applyFont="1" applyBorder="1" applyAlignment="1">
      <alignment horizontal="center"/>
    </xf>
    <xf numFmtId="0" fontId="5" fillId="0" borderId="0" xfId="0" applyFont="1" applyBorder="1"/>
    <xf numFmtId="0" fontId="5" fillId="0" borderId="5" xfId="0" applyFont="1" applyBorder="1"/>
    <xf numFmtId="49" fontId="5" fillId="0" borderId="5" xfId="0" applyNumberFormat="1" applyFont="1" applyBorder="1" applyAlignment="1">
      <alignment horizontal="center"/>
    </xf>
    <xf numFmtId="0" fontId="5" fillId="0" borderId="6" xfId="0" applyFont="1" applyBorder="1"/>
    <xf numFmtId="165" fontId="5" fillId="0" borderId="6" xfId="0" applyNumberFormat="1" applyFont="1" applyBorder="1" applyAlignment="1" applyProtection="1">
      <alignment horizontal="left"/>
    </xf>
    <xf numFmtId="40" fontId="6" fillId="0" borderId="6" xfId="0" applyNumberFormat="1" applyFont="1" applyBorder="1" applyProtection="1">
      <protection locked="0"/>
    </xf>
    <xf numFmtId="40" fontId="6" fillId="0" borderId="0" xfId="0" applyNumberFormat="1" applyFont="1" applyBorder="1" applyProtection="1">
      <protection locked="0"/>
    </xf>
    <xf numFmtId="40" fontId="7" fillId="0" borderId="3" xfId="0" applyNumberFormat="1" applyFont="1" applyBorder="1" applyProtection="1">
      <protection locked="0"/>
    </xf>
    <xf numFmtId="40" fontId="7" fillId="0" borderId="0" xfId="0" applyNumberFormat="1" applyFont="1" applyBorder="1" applyProtection="1">
      <protection locked="0"/>
    </xf>
    <xf numFmtId="40" fontId="5" fillId="0" borderId="0" xfId="0" applyNumberFormat="1" applyFont="1" applyBorder="1" applyProtection="1"/>
    <xf numFmtId="165" fontId="6" fillId="0" borderId="0" xfId="0" applyNumberFormat="1" applyFont="1" applyBorder="1" applyProtection="1">
      <protection locked="0"/>
    </xf>
    <xf numFmtId="164" fontId="5" fillId="0" borderId="0" xfId="0" applyNumberFormat="1" applyFont="1" applyBorder="1" applyAlignment="1" applyProtection="1">
      <alignment horizontal="left"/>
    </xf>
    <xf numFmtId="164" fontId="9" fillId="0" borderId="0" xfId="0" applyNumberFormat="1" applyFont="1" applyBorder="1" applyAlignment="1" applyProtection="1">
      <alignment horizontal="left"/>
    </xf>
    <xf numFmtId="165" fontId="5" fillId="0" borderId="6" xfId="0" applyNumberFormat="1" applyFont="1" applyBorder="1" applyAlignment="1" applyProtection="1">
      <alignment horizontal="center"/>
    </xf>
    <xf numFmtId="40" fontId="5" fillId="0" borderId="6" xfId="0" applyNumberFormat="1" applyFont="1" applyBorder="1"/>
    <xf numFmtId="0" fontId="5" fillId="0" borderId="6" xfId="0" applyFont="1" applyBorder="1" applyAlignment="1">
      <alignment horizontal="center"/>
    </xf>
    <xf numFmtId="164" fontId="9" fillId="0" borderId="6" xfId="0" applyNumberFormat="1" applyFont="1" applyBorder="1" applyAlignment="1" applyProtection="1">
      <alignment horizontal="left"/>
    </xf>
    <xf numFmtId="0" fontId="5" fillId="0" borderId="0" xfId="0" applyFont="1" applyBorder="1" applyAlignment="1">
      <alignment horizontal="center"/>
    </xf>
    <xf numFmtId="165" fontId="9" fillId="0" borderId="0" xfId="0" applyNumberFormat="1" applyFont="1" applyAlignment="1" applyProtection="1">
      <alignment horizontal="left"/>
    </xf>
    <xf numFmtId="40" fontId="5" fillId="0" borderId="0" xfId="0" applyNumberFormat="1" applyFont="1" applyBorder="1" applyAlignment="1">
      <alignment horizontal="center"/>
    </xf>
    <xf numFmtId="49" fontId="9" fillId="0" borderId="0" xfId="0" applyNumberFormat="1" applyFont="1" applyAlignment="1" applyProtection="1">
      <alignment horizontal="left"/>
    </xf>
    <xf numFmtId="49" fontId="5" fillId="0" borderId="0" xfId="0" applyNumberFormat="1" applyFont="1" applyAlignment="1" applyProtection="1">
      <alignment horizontal="left"/>
    </xf>
    <xf numFmtId="0" fontId="0" fillId="0" borderId="0" xfId="0" applyBorder="1" applyAlignment="1">
      <alignment horizontal="center"/>
    </xf>
    <xf numFmtId="0" fontId="5" fillId="0" borderId="4" xfId="0" applyFont="1" applyBorder="1" applyAlignment="1">
      <alignment horizontal="center"/>
    </xf>
    <xf numFmtId="0" fontId="0" fillId="0" borderId="3" xfId="0" applyBorder="1" applyAlignment="1">
      <alignment horizontal="center"/>
    </xf>
    <xf numFmtId="40" fontId="5" fillId="0" borderId="4" xfId="0" applyNumberFormat="1" applyFont="1" applyBorder="1"/>
    <xf numFmtId="40" fontId="0" fillId="0" borderId="0" xfId="0" applyNumberFormat="1" applyBorder="1" applyAlignment="1">
      <alignment horizontal="center"/>
    </xf>
    <xf numFmtId="40" fontId="7" fillId="0" borderId="0" xfId="0" applyNumberFormat="1" applyFont="1" applyAlignment="1" applyProtection="1">
      <alignment horizontal="center" vertical="justify"/>
      <protection locked="0"/>
    </xf>
    <xf numFmtId="40" fontId="0" fillId="0" borderId="4" xfId="0" applyNumberFormat="1" applyBorder="1"/>
    <xf numFmtId="40" fontId="7" fillId="0" borderId="0" xfId="0" applyNumberFormat="1" applyFont="1" applyBorder="1" applyAlignment="1" applyProtection="1">
      <alignment horizontal="right"/>
    </xf>
    <xf numFmtId="40" fontId="7" fillId="0" borderId="0" xfId="0" applyNumberFormat="1" applyFont="1" applyAlignment="1" applyProtection="1">
      <alignment horizontal="right"/>
    </xf>
    <xf numFmtId="40" fontId="7" fillId="0" borderId="3" xfId="0" applyNumberFormat="1" applyFont="1" applyBorder="1" applyAlignment="1" applyProtection="1">
      <alignment horizontal="right"/>
    </xf>
    <xf numFmtId="0" fontId="9" fillId="0" borderId="0" xfId="0" applyFont="1" applyBorder="1" applyProtection="1"/>
    <xf numFmtId="0" fontId="13" fillId="0" borderId="3" xfId="0" applyFont="1" applyBorder="1" applyProtection="1"/>
    <xf numFmtId="0" fontId="13" fillId="0" borderId="0" xfId="0" applyFont="1" applyBorder="1" applyProtection="1"/>
    <xf numFmtId="0" fontId="14" fillId="0" borderId="0" xfId="0" applyFont="1" applyBorder="1" applyProtection="1"/>
    <xf numFmtId="0" fontId="16" fillId="0" borderId="0" xfId="0" applyFont="1" applyBorder="1" applyProtection="1"/>
    <xf numFmtId="40" fontId="6" fillId="0" borderId="0" xfId="0" applyNumberFormat="1" applyFont="1" applyProtection="1"/>
    <xf numFmtId="40" fontId="17" fillId="0" borderId="0" xfId="0" applyNumberFormat="1" applyFont="1" applyProtection="1"/>
    <xf numFmtId="40" fontId="17" fillId="0" borderId="0" xfId="0" applyNumberFormat="1" applyFont="1" applyBorder="1" applyProtection="1"/>
    <xf numFmtId="40" fontId="17" fillId="0" borderId="3" xfId="0" applyNumberFormat="1" applyFont="1" applyBorder="1" applyProtection="1"/>
    <xf numFmtId="40" fontId="7" fillId="0" borderId="0" xfId="0" applyNumberFormat="1" applyFont="1" applyBorder="1" applyProtection="1"/>
    <xf numFmtId="40" fontId="17" fillId="0" borderId="0" xfId="0" applyNumberFormat="1" applyFont="1" applyBorder="1" applyAlignment="1" applyProtection="1">
      <alignment horizontal="center"/>
    </xf>
    <xf numFmtId="40" fontId="7" fillId="0" borderId="0" xfId="0" applyNumberFormat="1" applyFont="1" applyBorder="1" applyAlignment="1" applyProtection="1">
      <alignment horizontal="center"/>
    </xf>
    <xf numFmtId="0" fontId="7" fillId="0" borderId="0" xfId="0" applyNumberFormat="1" applyFont="1" applyAlignment="1" applyProtection="1">
      <alignment horizontal="center" vertical="justify"/>
    </xf>
    <xf numFmtId="40" fontId="7" fillId="0" borderId="0" xfId="0" applyNumberFormat="1" applyFont="1" applyAlignment="1" applyProtection="1">
      <alignment horizontal="center" vertical="justify"/>
    </xf>
    <xf numFmtId="40" fontId="7" fillId="0" borderId="0" xfId="0" applyNumberFormat="1" applyFont="1" applyAlignment="1" applyProtection="1">
      <alignment horizontal="right" vertical="justify"/>
    </xf>
    <xf numFmtId="0" fontId="5" fillId="0" borderId="0" xfId="0" applyFont="1" applyBorder="1" applyAlignment="1" applyProtection="1">
      <alignment horizontal="center"/>
    </xf>
    <xf numFmtId="40" fontId="7" fillId="0" borderId="0" xfId="0" applyNumberFormat="1" applyFont="1" applyAlignment="1" applyProtection="1">
      <alignment horizontal="center"/>
    </xf>
    <xf numFmtId="0" fontId="5" fillId="0" borderId="3" xfId="0" applyFont="1" applyBorder="1" applyAlignment="1" applyProtection="1">
      <alignment horizontal="center"/>
    </xf>
    <xf numFmtId="40" fontId="7" fillId="0" borderId="3" xfId="0" applyNumberFormat="1" applyFont="1" applyBorder="1" applyAlignment="1" applyProtection="1">
      <alignment horizontal="right" vertical="justify"/>
    </xf>
    <xf numFmtId="40" fontId="7" fillId="0" borderId="0" xfId="0" applyNumberFormat="1" applyFont="1" applyBorder="1" applyAlignment="1" applyProtection="1">
      <alignment horizontal="right" vertical="justify"/>
    </xf>
    <xf numFmtId="49" fontId="5" fillId="0" borderId="0" xfId="0" applyNumberFormat="1" applyFont="1" applyAlignment="1" applyProtection="1">
      <alignment horizontal="left"/>
      <protection locked="0"/>
    </xf>
    <xf numFmtId="0" fontId="0" fillId="0" borderId="0" xfId="0" applyBorder="1" applyAlignment="1" applyProtection="1">
      <alignment horizontal="center"/>
    </xf>
    <xf numFmtId="40" fontId="6" fillId="0" borderId="0" xfId="0" applyNumberFormat="1" applyFont="1" applyAlignment="1" applyProtection="1"/>
    <xf numFmtId="40" fontId="17" fillId="0" borderId="0" xfId="0" applyNumberFormat="1" applyFont="1" applyAlignment="1" applyProtection="1">
      <alignment horizontal="center" vertical="justify"/>
    </xf>
    <xf numFmtId="40" fontId="17" fillId="0" borderId="0" xfId="0" applyNumberFormat="1" applyFont="1" applyAlignment="1" applyProtection="1">
      <alignment horizontal="center"/>
    </xf>
    <xf numFmtId="0" fontId="5" fillId="0" borderId="0" xfId="0" applyNumberFormat="1" applyFont="1" applyAlignment="1" applyProtection="1">
      <alignment horizontal="center"/>
    </xf>
    <xf numFmtId="40" fontId="0" fillId="0" borderId="0" xfId="0" applyNumberFormat="1" applyBorder="1" applyProtection="1"/>
    <xf numFmtId="40" fontId="13" fillId="0" borderId="0" xfId="0" applyNumberFormat="1" applyFont="1" applyBorder="1" applyAlignment="1" applyProtection="1">
      <alignment horizontal="center"/>
    </xf>
    <xf numFmtId="0" fontId="5" fillId="0" borderId="0" xfId="0" applyFont="1" applyAlignment="1" applyProtection="1">
      <alignment horizontal="center"/>
    </xf>
    <xf numFmtId="0" fontId="5" fillId="0" borderId="0" xfId="0" quotePrefix="1" applyNumberFormat="1" applyFont="1" applyAlignment="1" applyProtection="1">
      <alignment horizontal="left"/>
    </xf>
    <xf numFmtId="14" fontId="5" fillId="0" borderId="0" xfId="0" quotePrefix="1" applyNumberFormat="1" applyFont="1" applyAlignment="1" applyProtection="1">
      <alignment horizontal="left"/>
    </xf>
    <xf numFmtId="40" fontId="7" fillId="0" borderId="0" xfId="0" quotePrefix="1" applyNumberFormat="1" applyFont="1" applyBorder="1" applyAlignment="1" applyProtection="1">
      <alignment horizontal="left" vertical="justify"/>
    </xf>
    <xf numFmtId="40" fontId="17" fillId="0" borderId="0" xfId="0" applyNumberFormat="1" applyFont="1" applyAlignment="1" applyProtection="1">
      <alignment horizontal="centerContinuous" vertical="justify"/>
    </xf>
    <xf numFmtId="40" fontId="17" fillId="0" borderId="0" xfId="0" applyNumberFormat="1" applyFont="1" applyAlignment="1" applyProtection="1">
      <alignment horizontal="centerContinuous"/>
    </xf>
    <xf numFmtId="40" fontId="5" fillId="0" borderId="0" xfId="0" applyNumberFormat="1" applyFont="1" applyProtection="1">
      <protection locked="0"/>
    </xf>
    <xf numFmtId="40" fontId="5" fillId="0" borderId="0" xfId="0" quotePrefix="1" applyNumberFormat="1" applyFont="1" applyAlignment="1" applyProtection="1">
      <alignment horizontal="center"/>
      <protection locked="0"/>
    </xf>
    <xf numFmtId="0" fontId="0" fillId="0" borderId="0" xfId="0" applyProtection="1"/>
    <xf numFmtId="0" fontId="5" fillId="0" borderId="0" xfId="0" applyFont="1" applyProtection="1"/>
    <xf numFmtId="0" fontId="9" fillId="0" borderId="0" xfId="0" applyFont="1" applyProtection="1"/>
    <xf numFmtId="40" fontId="18" fillId="0" borderId="0" xfId="0" applyNumberFormat="1" applyFont="1"/>
    <xf numFmtId="40" fontId="7" fillId="0" borderId="4" xfId="0" applyNumberFormat="1" applyFont="1" applyBorder="1" applyProtection="1"/>
    <xf numFmtId="40" fontId="19" fillId="0" borderId="4" xfId="0" applyNumberFormat="1" applyFont="1" applyBorder="1"/>
    <xf numFmtId="0" fontId="0" fillId="0" borderId="0" xfId="0" applyAlignment="1"/>
    <xf numFmtId="0" fontId="5" fillId="0" borderId="0" xfId="0" applyNumberFormat="1" applyFont="1" applyAlignment="1" applyProtection="1">
      <alignment horizontal="left"/>
    </xf>
    <xf numFmtId="0" fontId="5" fillId="0" borderId="0" xfId="0" applyNumberFormat="1" applyFont="1" applyProtection="1">
      <protection locked="0"/>
    </xf>
    <xf numFmtId="40" fontId="17" fillId="0" borderId="0" xfId="0" applyNumberFormat="1" applyFont="1" applyAlignment="1" applyProtection="1"/>
    <xf numFmtId="40" fontId="7" fillId="0" borderId="0" xfId="0" applyNumberFormat="1" applyFont="1" applyAlignment="1" applyProtection="1"/>
    <xf numFmtId="40" fontId="0" fillId="0" borderId="0" xfId="0" applyNumberFormat="1" applyAlignment="1"/>
    <xf numFmtId="2" fontId="0" fillId="0" borderId="0" xfId="0" applyNumberFormat="1" applyAlignment="1"/>
    <xf numFmtId="40" fontId="7" fillId="0" borderId="3" xfId="0" applyNumberFormat="1" applyFont="1" applyBorder="1" applyProtection="1"/>
    <xf numFmtId="40" fontId="7" fillId="0" borderId="0" xfId="0" quotePrefix="1" applyNumberFormat="1" applyFont="1" applyAlignment="1" applyProtection="1">
      <alignment horizontal="left" vertical="justify"/>
    </xf>
    <xf numFmtId="40" fontId="0" fillId="0" borderId="7" xfId="0" applyNumberFormat="1" applyBorder="1"/>
    <xf numFmtId="14" fontId="5" fillId="0" borderId="0" xfId="0" applyNumberFormat="1" applyFont="1" applyAlignment="1" applyProtection="1">
      <alignment horizontal="left"/>
    </xf>
    <xf numFmtId="40" fontId="7" fillId="0" borderId="0" xfId="0" applyNumberFormat="1" applyFont="1" applyAlignment="1" applyProtection="1">
      <alignment horizontal="left" vertical="justify"/>
    </xf>
    <xf numFmtId="40" fontId="0" fillId="0" borderId="0" xfId="0" applyNumberFormat="1" applyBorder="1" applyProtection="1">
      <protection locked="0"/>
    </xf>
    <xf numFmtId="0" fontId="6" fillId="0" borderId="0" xfId="0" applyNumberFormat="1" applyFont="1" applyProtection="1">
      <protection locked="0"/>
    </xf>
    <xf numFmtId="40" fontId="7" fillId="0" borderId="0" xfId="0" applyNumberFormat="1" applyFont="1" applyBorder="1" applyAlignment="1" applyProtection="1">
      <alignment horizontal="left"/>
    </xf>
    <xf numFmtId="40" fontId="17" fillId="0" borderId="0" xfId="0" quotePrefix="1" applyNumberFormat="1" applyFont="1" applyAlignment="1" applyProtection="1">
      <alignment horizontal="left"/>
    </xf>
    <xf numFmtId="0" fontId="7" fillId="0" borderId="3" xfId="0" applyNumberFormat="1" applyFont="1" applyBorder="1" applyAlignment="1" applyProtection="1">
      <alignment horizontal="center" vertical="justify"/>
    </xf>
    <xf numFmtId="40" fontId="7" fillId="0" borderId="3" xfId="0" applyNumberFormat="1" applyFont="1" applyBorder="1" applyAlignment="1" applyProtection="1">
      <alignment horizontal="center" vertical="justify"/>
    </xf>
    <xf numFmtId="40" fontId="20" fillId="0" borderId="0" xfId="0" quotePrefix="1" applyNumberFormat="1" applyFont="1" applyBorder="1" applyAlignment="1" applyProtection="1">
      <alignment horizontal="center" vertical="justify"/>
    </xf>
    <xf numFmtId="40" fontId="20"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6" fillId="0" borderId="0" xfId="0" applyNumberFormat="1" applyFont="1" applyAlignment="1" applyProtection="1">
      <alignment horizontal="center"/>
      <protection locked="0"/>
    </xf>
    <xf numFmtId="49" fontId="6"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5" fillId="0" borderId="3" xfId="0" applyFont="1" applyBorder="1" applyAlignment="1" applyProtection="1">
      <alignment horizontal="left"/>
    </xf>
    <xf numFmtId="0" fontId="5" fillId="0" borderId="0" xfId="0" applyFont="1" applyAlignment="1">
      <alignment horizontal="left"/>
    </xf>
    <xf numFmtId="49" fontId="23" fillId="0" borderId="0" xfId="0" applyNumberFormat="1" applyFont="1" applyAlignment="1" applyProtection="1">
      <alignment horizontal="left"/>
    </xf>
    <xf numFmtId="40" fontId="20" fillId="0" borderId="0" xfId="0" applyNumberFormat="1" applyFont="1" applyProtection="1"/>
    <xf numFmtId="0" fontId="24" fillId="0" borderId="0" xfId="0" applyFont="1" applyBorder="1" applyAlignment="1" applyProtection="1">
      <alignment horizontal="center"/>
    </xf>
    <xf numFmtId="14" fontId="24" fillId="0" borderId="0" xfId="0" quotePrefix="1" applyNumberFormat="1" applyFont="1" applyAlignment="1" applyProtection="1">
      <alignment horizontal="left"/>
    </xf>
    <xf numFmtId="40" fontId="20" fillId="0" borderId="0" xfId="0" applyNumberFormat="1" applyFont="1" applyAlignment="1" applyProtection="1">
      <alignment horizontal="right" vertical="justify"/>
    </xf>
    <xf numFmtId="40" fontId="20" fillId="0" borderId="0" xfId="0" quotePrefix="1" applyNumberFormat="1" applyFont="1" applyAlignment="1" applyProtection="1">
      <alignment horizontal="left" vertical="justify"/>
    </xf>
    <xf numFmtId="40" fontId="20" fillId="0" borderId="0" xfId="0" applyNumberFormat="1" applyFont="1" applyAlignment="1" applyProtection="1">
      <alignment horizontal="center" vertical="justify"/>
      <protection locked="0"/>
    </xf>
    <xf numFmtId="40" fontId="20" fillId="0" borderId="0" xfId="0" applyNumberFormat="1" applyFont="1" applyAlignment="1" applyProtection="1">
      <alignment horizontal="right"/>
    </xf>
    <xf numFmtId="165" fontId="25" fillId="0" borderId="0" xfId="0" applyNumberFormat="1" applyFont="1" applyProtection="1">
      <protection locked="0"/>
    </xf>
    <xf numFmtId="0" fontId="24" fillId="0" borderId="0" xfId="0" applyFont="1"/>
    <xf numFmtId="164" fontId="26" fillId="0" borderId="0" xfId="0" applyNumberFormat="1" applyFont="1" applyAlignment="1" applyProtection="1">
      <alignment horizontal="left"/>
    </xf>
    <xf numFmtId="40" fontId="7" fillId="0" borderId="0" xfId="0" applyNumberFormat="1" applyFont="1" applyAlignment="1" applyProtection="1">
      <alignment horizontal="left"/>
    </xf>
    <xf numFmtId="40" fontId="22" fillId="0" borderId="3" xfId="0" applyNumberFormat="1" applyFont="1" applyBorder="1" applyProtection="1"/>
    <xf numFmtId="40" fontId="22" fillId="0" borderId="0" xfId="0" applyNumberFormat="1" applyFont="1" applyProtection="1"/>
    <xf numFmtId="40" fontId="7" fillId="0" borderId="0" xfId="0" applyNumberFormat="1" applyFont="1" applyProtection="1">
      <protection locked="0"/>
    </xf>
    <xf numFmtId="0" fontId="0" fillId="0" borderId="0" xfId="0" applyBorder="1" applyProtection="1">
      <protection locked="0"/>
    </xf>
    <xf numFmtId="49" fontId="5" fillId="0" borderId="0" xfId="0" applyNumberFormat="1" applyFont="1" applyBorder="1" applyProtection="1">
      <protection locked="0"/>
    </xf>
    <xf numFmtId="40" fontId="5" fillId="0" borderId="0" xfId="0" quotePrefix="1" applyNumberFormat="1" applyFont="1" applyBorder="1" applyAlignment="1">
      <alignment horizontal="center"/>
    </xf>
    <xf numFmtId="40" fontId="17" fillId="0" borderId="0" xfId="0" quotePrefix="1" applyNumberFormat="1" applyFont="1" applyProtection="1"/>
    <xf numFmtId="38" fontId="0" fillId="0" borderId="0" xfId="0" applyNumberFormat="1"/>
    <xf numFmtId="38" fontId="13" fillId="0" borderId="0" xfId="0" applyNumberFormat="1" applyFont="1"/>
    <xf numFmtId="0" fontId="13" fillId="0" borderId="0" xfId="0" applyFont="1" applyAlignment="1">
      <alignment horizontal="center"/>
    </xf>
    <xf numFmtId="167" fontId="0" fillId="0" borderId="0" xfId="0" applyNumberFormat="1"/>
    <xf numFmtId="0" fontId="0" fillId="0" borderId="0" xfId="0" applyAlignment="1">
      <alignment horizontal="right"/>
    </xf>
    <xf numFmtId="167" fontId="13" fillId="0" borderId="0" xfId="0" applyNumberFormat="1" applyFont="1"/>
    <xf numFmtId="0" fontId="14" fillId="0" borderId="0" xfId="0" applyFont="1"/>
    <xf numFmtId="49" fontId="29" fillId="0" borderId="0" xfId="0" applyNumberFormat="1" applyFont="1"/>
    <xf numFmtId="0" fontId="30" fillId="0" borderId="0" xfId="0" applyFont="1"/>
    <xf numFmtId="0" fontId="30" fillId="0" borderId="0" xfId="0" quotePrefix="1" applyFont="1" applyAlignment="1">
      <alignment horizontal="left"/>
    </xf>
    <xf numFmtId="0" fontId="14" fillId="0" borderId="0" xfId="0" quotePrefix="1" applyFont="1" applyBorder="1" applyAlignment="1" applyProtection="1">
      <alignment horizontal="left"/>
    </xf>
    <xf numFmtId="40" fontId="7" fillId="0" borderId="0" xfId="0" quotePrefix="1" applyNumberFormat="1" applyFont="1" applyAlignment="1" applyProtection="1">
      <alignment horizontal="left"/>
    </xf>
    <xf numFmtId="0" fontId="5" fillId="0" borderId="4" xfId="0" applyFont="1" applyBorder="1" applyAlignment="1" applyProtection="1">
      <alignment horizontal="center"/>
    </xf>
    <xf numFmtId="0" fontId="5" fillId="0" borderId="4" xfId="0" applyFont="1" applyBorder="1" applyAlignment="1" applyProtection="1">
      <alignment horizontal="left"/>
    </xf>
    <xf numFmtId="40" fontId="7" fillId="0" borderId="4" xfId="0" applyNumberFormat="1" applyFont="1" applyBorder="1" applyAlignment="1" applyProtection="1">
      <alignment horizontal="right"/>
    </xf>
    <xf numFmtId="40" fontId="5" fillId="2" borderId="0" xfId="0" applyNumberFormat="1" applyFont="1" applyFill="1" applyBorder="1" applyAlignment="1" applyProtection="1">
      <alignment horizontal="left"/>
    </xf>
    <xf numFmtId="0" fontId="5" fillId="0" borderId="3" xfId="0" applyNumberFormat="1" applyFont="1" applyBorder="1" applyAlignment="1" applyProtection="1">
      <alignment horizontal="center"/>
    </xf>
    <xf numFmtId="0" fontId="5" fillId="0" borderId="3" xfId="0" applyNumberFormat="1" applyFont="1" applyBorder="1" applyAlignment="1" applyProtection="1">
      <alignment horizontal="left"/>
    </xf>
    <xf numFmtId="0" fontId="5" fillId="0" borderId="4" xfId="0" applyNumberFormat="1" applyFont="1" applyBorder="1" applyAlignment="1" applyProtection="1">
      <alignment horizontal="left"/>
    </xf>
    <xf numFmtId="164" fontId="24" fillId="0" borderId="0" xfId="0" applyNumberFormat="1" applyFont="1" applyAlignment="1" applyProtection="1">
      <alignment horizontal="left"/>
    </xf>
    <xf numFmtId="40" fontId="24" fillId="0" borderId="0" xfId="0" applyNumberFormat="1" applyFont="1" applyProtection="1"/>
    <xf numFmtId="40" fontId="7" fillId="0" borderId="5" xfId="0" applyNumberFormat="1" applyFont="1" applyBorder="1" applyProtection="1"/>
    <xf numFmtId="0" fontId="5" fillId="0" borderId="5" xfId="0" applyFont="1" applyBorder="1" applyAlignment="1">
      <alignment horizontal="center"/>
    </xf>
    <xf numFmtId="0" fontId="5" fillId="0" borderId="5" xfId="0" applyNumberFormat="1" applyFont="1" applyBorder="1" applyAlignment="1" applyProtection="1">
      <alignment horizontal="center"/>
    </xf>
    <xf numFmtId="165" fontId="5" fillId="0" borderId="5" xfId="0" applyNumberFormat="1" applyFont="1" applyBorder="1" applyAlignment="1" applyProtection="1">
      <alignment horizontal="left"/>
    </xf>
    <xf numFmtId="40" fontId="6" fillId="0" borderId="5" xfId="0" applyNumberFormat="1" applyFont="1" applyBorder="1" applyProtection="1">
      <protection locked="0"/>
    </xf>
    <xf numFmtId="40" fontId="0" fillId="0" borderId="5" xfId="0" applyNumberFormat="1" applyBorder="1"/>
    <xf numFmtId="40" fontId="5"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3" fillId="3" borderId="0" xfId="0" applyNumberFormat="1" applyFont="1" applyFill="1" applyAlignment="1" applyProtection="1">
      <alignment horizontal="center"/>
      <protection locked="0"/>
    </xf>
    <xf numFmtId="0" fontId="13" fillId="0" borderId="0" xfId="0" applyFont="1" applyAlignment="1" applyProtection="1">
      <alignment horizontal="center"/>
    </xf>
    <xf numFmtId="1" fontId="0" fillId="0" borderId="0" xfId="0" applyNumberFormat="1" applyAlignment="1" applyProtection="1">
      <alignment horizontal="right"/>
    </xf>
    <xf numFmtId="49" fontId="14"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3" fillId="0" borderId="11" xfId="0" applyFont="1" applyBorder="1" applyAlignment="1">
      <alignment horizontal="center"/>
    </xf>
    <xf numFmtId="0" fontId="13"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4" fillId="0" borderId="0" xfId="0" applyNumberFormat="1" applyFont="1" applyAlignment="1" applyProtection="1">
      <alignment horizontal="left"/>
    </xf>
    <xf numFmtId="1" fontId="0" fillId="0" borderId="0" xfId="0" applyNumberFormat="1" applyBorder="1" applyAlignment="1" applyProtection="1">
      <alignment horizontal="right"/>
    </xf>
    <xf numFmtId="40" fontId="5" fillId="4" borderId="0" xfId="0" applyNumberFormat="1" applyFont="1" applyFill="1" applyAlignment="1" applyProtection="1">
      <alignment horizontal="center"/>
    </xf>
    <xf numFmtId="40" fontId="24" fillId="0" borderId="0" xfId="0" applyNumberFormat="1" applyFont="1" applyAlignment="1" applyProtection="1">
      <alignment horizontal="center"/>
    </xf>
    <xf numFmtId="40" fontId="24" fillId="0" borderId="0" xfId="0" applyNumberFormat="1" applyFont="1"/>
    <xf numFmtId="0" fontId="9" fillId="0" borderId="0" xfId="0" applyFont="1" applyBorder="1" applyAlignment="1">
      <alignment horizontal="center"/>
    </xf>
    <xf numFmtId="0" fontId="13" fillId="0" borderId="1" xfId="0" applyFont="1" applyBorder="1" applyAlignment="1">
      <alignment horizontal="center"/>
    </xf>
    <xf numFmtId="40" fontId="13" fillId="0" borderId="14" xfId="0" applyNumberFormat="1" applyFont="1" applyBorder="1"/>
    <xf numFmtId="4" fontId="13" fillId="0" borderId="0" xfId="0" applyNumberFormat="1" applyFont="1" applyBorder="1"/>
    <xf numFmtId="4" fontId="13" fillId="0" borderId="5" xfId="0" applyNumberFormat="1" applyFont="1" applyBorder="1"/>
    <xf numFmtId="49" fontId="8" fillId="0" borderId="0" xfId="0" applyNumberFormat="1" applyFont="1"/>
    <xf numFmtId="0" fontId="13" fillId="0" borderId="0" xfId="0" applyFont="1" applyAlignment="1">
      <alignment horizontal="right"/>
    </xf>
    <xf numFmtId="4" fontId="13" fillId="0" borderId="14" xfId="0" applyNumberFormat="1" applyFont="1" applyBorder="1"/>
    <xf numFmtId="40" fontId="13" fillId="0" borderId="14" xfId="0" applyNumberFormat="1" applyFont="1" applyBorder="1" applyAlignment="1">
      <alignment horizontal="right"/>
    </xf>
    <xf numFmtId="49" fontId="13" fillId="0" borderId="0" xfId="0" applyNumberFormat="1" applyFont="1" applyAlignment="1">
      <alignment horizontal="center"/>
    </xf>
    <xf numFmtId="40" fontId="9" fillId="0" borderId="0" xfId="0" applyNumberFormat="1" applyFont="1" applyBorder="1" applyAlignment="1">
      <alignment horizontal="center"/>
    </xf>
    <xf numFmtId="0" fontId="35" fillId="0" borderId="0" xfId="0" applyFont="1" applyAlignment="1">
      <alignment horizontal="center"/>
    </xf>
    <xf numFmtId="164" fontId="27" fillId="0" borderId="0" xfId="0" applyNumberFormat="1" applyFont="1" applyAlignment="1" applyProtection="1">
      <alignment horizontal="left"/>
    </xf>
    <xf numFmtId="4" fontId="8" fillId="0" borderId="0" xfId="0" applyNumberFormat="1" applyFont="1" applyProtection="1">
      <protection locked="0"/>
    </xf>
    <xf numFmtId="0" fontId="13" fillId="0" borderId="15" xfId="0" applyFont="1" applyBorder="1" applyAlignment="1">
      <alignment horizontal="center"/>
    </xf>
    <xf numFmtId="0" fontId="13"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3" fillId="0" borderId="8" xfId="0" applyNumberFormat="1" applyFont="1" applyBorder="1"/>
    <xf numFmtId="166" fontId="13" fillId="0" borderId="0" xfId="0" applyNumberFormat="1" applyFont="1"/>
    <xf numFmtId="0" fontId="13" fillId="0" borderId="5" xfId="0" applyFont="1" applyBorder="1" applyAlignment="1">
      <alignment horizontal="center"/>
    </xf>
    <xf numFmtId="0" fontId="13"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5" fillId="0" borderId="0" xfId="0" applyFont="1"/>
    <xf numFmtId="49" fontId="30" fillId="0" borderId="0" xfId="0" applyNumberFormat="1" applyFont="1" applyAlignment="1">
      <alignment horizontal="left"/>
    </xf>
    <xf numFmtId="0" fontId="8" fillId="0" borderId="0" xfId="0" applyFont="1"/>
    <xf numFmtId="0" fontId="38" fillId="0" borderId="0" xfId="0" applyFont="1"/>
    <xf numFmtId="0" fontId="29" fillId="0" borderId="0" xfId="0" applyFont="1"/>
    <xf numFmtId="0" fontId="13" fillId="0" borderId="0" xfId="0" applyFont="1" applyAlignment="1">
      <alignment horizontal="center"/>
    </xf>
    <xf numFmtId="0" fontId="13" fillId="0" borderId="0" xfId="0" applyFont="1" applyBorder="1" applyAlignment="1">
      <alignment horizontal="center"/>
    </xf>
    <xf numFmtId="0" fontId="9" fillId="0" borderId="0" xfId="0" applyFont="1" applyAlignment="1">
      <alignment horizontal="center"/>
    </xf>
    <xf numFmtId="0" fontId="11" fillId="0" borderId="0" xfId="0" applyFont="1" applyAlignment="1">
      <alignment horizontal="center"/>
    </xf>
    <xf numFmtId="0" fontId="13" fillId="0" borderId="5" xfId="0" applyFont="1" applyBorder="1" applyAlignment="1">
      <alignment horizontal="center"/>
    </xf>
    <xf numFmtId="0" fontId="13" fillId="0" borderId="0" xfId="0" applyFont="1" applyBorder="1" applyAlignment="1">
      <alignment horizontal="center"/>
    </xf>
    <xf numFmtId="0" fontId="0" fillId="0" borderId="15" xfId="0" applyFill="1" applyBorder="1"/>
    <xf numFmtId="0" fontId="13" fillId="0" borderId="21" xfId="0" applyFont="1" applyBorder="1" applyAlignment="1">
      <alignment horizontal="center"/>
    </xf>
    <xf numFmtId="0" fontId="13" fillId="0" borderId="23" xfId="0" applyFont="1" applyBorder="1" applyAlignment="1">
      <alignment horizontal="center"/>
    </xf>
    <xf numFmtId="0" fontId="13" fillId="6" borderId="0" xfId="0" applyFont="1" applyFill="1" applyAlignment="1">
      <alignment horizontal="center"/>
    </xf>
    <xf numFmtId="0" fontId="13" fillId="6" borderId="5" xfId="0" applyFont="1" applyFill="1" applyBorder="1" applyAlignment="1">
      <alignment horizontal="center"/>
    </xf>
    <xf numFmtId="40" fontId="13" fillId="6" borderId="0" xfId="0" applyNumberFormat="1" applyFont="1" applyFill="1"/>
    <xf numFmtId="0" fontId="0" fillId="6" borderId="0" xfId="0" applyFill="1"/>
    <xf numFmtId="0" fontId="40" fillId="0" borderId="0" xfId="0" applyFont="1" applyAlignment="1">
      <alignment horizontal="center"/>
    </xf>
    <xf numFmtId="0" fontId="13" fillId="0" borderId="0" xfId="0" applyFont="1" applyAlignment="1">
      <alignment horizontal="center"/>
    </xf>
    <xf numFmtId="40" fontId="40" fillId="6" borderId="0" xfId="0" applyNumberFormat="1" applyFont="1" applyFill="1"/>
    <xf numFmtId="0" fontId="0" fillId="0" borderId="0" xfId="0" applyFill="1"/>
    <xf numFmtId="0" fontId="44" fillId="0" borderId="0" xfId="0" applyFont="1"/>
    <xf numFmtId="0" fontId="45" fillId="0" borderId="0" xfId="0" applyFont="1"/>
    <xf numFmtId="40" fontId="14" fillId="0" borderId="0" xfId="0" applyNumberFormat="1" applyFont="1"/>
    <xf numFmtId="10" fontId="0" fillId="7" borderId="0" xfId="0" applyNumberFormat="1" applyFill="1"/>
    <xf numFmtId="0" fontId="13" fillId="7" borderId="0" xfId="0" applyFont="1" applyFill="1" applyAlignment="1">
      <alignment horizontal="center"/>
    </xf>
    <xf numFmtId="0" fontId="13" fillId="8" borderId="24" xfId="0" applyFont="1" applyFill="1" applyBorder="1" applyAlignment="1">
      <alignment horizontal="center" vertical="center" wrapText="1"/>
    </xf>
    <xf numFmtId="0" fontId="13" fillId="8" borderId="25" xfId="0" applyFont="1" applyFill="1" applyBorder="1" applyAlignment="1">
      <alignment horizontal="center" vertical="center" wrapText="1"/>
    </xf>
    <xf numFmtId="0" fontId="13" fillId="7" borderId="24" xfId="0" applyFont="1" applyFill="1" applyBorder="1" applyAlignment="1">
      <alignment horizontal="center" vertical="center" wrapText="1"/>
    </xf>
    <xf numFmtId="0" fontId="13" fillId="7" borderId="25" xfId="0" applyFont="1" applyFill="1" applyBorder="1" applyAlignment="1">
      <alignment horizontal="center" vertical="center" wrapText="1"/>
    </xf>
    <xf numFmtId="0" fontId="0" fillId="7" borderId="0" xfId="0" applyFill="1"/>
    <xf numFmtId="0" fontId="31" fillId="9" borderId="0" xfId="0" applyFont="1" applyFill="1" applyProtection="1">
      <protection locked="0"/>
    </xf>
    <xf numFmtId="0" fontId="13"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1" fillId="9" borderId="0" xfId="0" applyFont="1" applyFill="1" applyProtection="1"/>
    <xf numFmtId="0" fontId="0" fillId="9" borderId="0" xfId="0" applyFill="1" applyProtection="1"/>
    <xf numFmtId="0" fontId="13" fillId="9" borderId="0" xfId="0" applyFont="1" applyFill="1" applyProtection="1"/>
    <xf numFmtId="0" fontId="13" fillId="9" borderId="26" xfId="0" applyFont="1" applyFill="1" applyBorder="1" applyAlignment="1" applyProtection="1">
      <alignment horizontal="center"/>
    </xf>
    <xf numFmtId="0" fontId="13" fillId="9" borderId="26" xfId="0" applyFont="1" applyFill="1" applyBorder="1" applyAlignment="1" applyProtection="1">
      <alignment horizontal="center" wrapText="1"/>
    </xf>
    <xf numFmtId="0" fontId="13" fillId="9" borderId="26" xfId="0" applyFont="1" applyFill="1" applyBorder="1" applyProtection="1"/>
    <xf numFmtId="2" fontId="13"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4" fillId="0" borderId="23" xfId="40" applyBorder="1" applyAlignment="1">
      <alignment horizontal="left"/>
    </xf>
    <xf numFmtId="0" fontId="4" fillId="0" borderId="37" xfId="40" applyBorder="1" applyAlignment="1">
      <alignment horizontal="left"/>
    </xf>
    <xf numFmtId="0" fontId="13" fillId="0" borderId="0" xfId="0" applyFont="1" applyProtection="1"/>
    <xf numFmtId="0" fontId="67" fillId="0" borderId="0" xfId="0" applyFont="1"/>
    <xf numFmtId="0" fontId="31" fillId="0" borderId="0" xfId="0" applyFont="1"/>
    <xf numFmtId="0" fontId="66" fillId="0" borderId="0" xfId="0" applyFont="1"/>
    <xf numFmtId="4" fontId="67" fillId="0" borderId="0" xfId="0" applyNumberFormat="1" applyFont="1" applyAlignment="1"/>
    <xf numFmtId="4" fontId="67" fillId="0" borderId="5" xfId="0" applyNumberFormat="1" applyFont="1" applyBorder="1" applyAlignment="1"/>
    <xf numFmtId="0" fontId="67" fillId="0" borderId="0" xfId="0" applyFont="1" applyAlignment="1">
      <alignment horizontal="center"/>
    </xf>
    <xf numFmtId="0" fontId="69" fillId="0" borderId="0" xfId="0" applyFont="1" applyAlignment="1">
      <alignment horizontal="right"/>
    </xf>
    <xf numFmtId="0" fontId="67" fillId="41" borderId="0" xfId="0" applyFont="1" applyFill="1" applyAlignment="1" applyProtection="1">
      <alignment horizontal="center"/>
      <protection locked="0"/>
    </xf>
    <xf numFmtId="40" fontId="67" fillId="0" borderId="3" xfId="0" applyNumberFormat="1" applyFont="1" applyBorder="1"/>
    <xf numFmtId="0" fontId="68" fillId="0" borderId="0" xfId="0" applyFont="1"/>
    <xf numFmtId="165" fontId="70" fillId="0" borderId="0" xfId="0" applyNumberFormat="1" applyFont="1" applyAlignment="1" applyProtection="1">
      <alignment horizontal="center"/>
    </xf>
    <xf numFmtId="165" fontId="70" fillId="0" borderId="0" xfId="0" applyNumberFormat="1" applyFont="1" applyAlignment="1" applyProtection="1">
      <alignment horizontal="left"/>
    </xf>
    <xf numFmtId="164" fontId="39"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6" fillId="7" borderId="0" xfId="0" applyNumberFormat="1" applyFont="1" applyFill="1" applyProtection="1"/>
    <xf numFmtId="49" fontId="39" fillId="0" borderId="0" xfId="0" applyNumberFormat="1" applyFont="1"/>
    <xf numFmtId="0" fontId="13" fillId="41" borderId="0" xfId="0" applyFont="1" applyFill="1"/>
    <xf numFmtId="0" fontId="0" fillId="41" borderId="0" xfId="0" applyFill="1"/>
    <xf numFmtId="0" fontId="40"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3" fillId="0" borderId="0" xfId="43"/>
    <xf numFmtId="0" fontId="3" fillId="41" borderId="0" xfId="43" applyFill="1" applyProtection="1">
      <protection locked="0"/>
    </xf>
    <xf numFmtId="0" fontId="3" fillId="41" borderId="0" xfId="43" applyFill="1" applyBorder="1" applyProtection="1">
      <protection locked="0"/>
    </xf>
    <xf numFmtId="40" fontId="3" fillId="44" borderId="0" xfId="43" applyNumberFormat="1" applyFill="1" applyProtection="1"/>
    <xf numFmtId="0" fontId="63" fillId="45" borderId="0" xfId="43" applyFont="1" applyFill="1"/>
    <xf numFmtId="0" fontId="63" fillId="45" borderId="0" xfId="43" applyFont="1" applyFill="1" applyAlignment="1">
      <alignment horizontal="center"/>
    </xf>
    <xf numFmtId="0" fontId="3" fillId="45" borderId="0" xfId="43" applyFill="1"/>
    <xf numFmtId="0" fontId="3" fillId="45" borderId="0" xfId="43" applyFill="1" applyAlignment="1">
      <alignment horizontal="left"/>
    </xf>
    <xf numFmtId="0" fontId="3" fillId="45" borderId="0" xfId="43" applyFill="1" applyAlignment="1">
      <alignment wrapText="1"/>
    </xf>
    <xf numFmtId="0" fontId="71" fillId="45" borderId="0" xfId="43" applyFont="1" applyFill="1" applyAlignment="1">
      <alignment horizontal="left" vertical="top" readingOrder="1"/>
    </xf>
    <xf numFmtId="40" fontId="39"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3" fillId="0" borderId="39" xfId="0" applyNumberFormat="1" applyFont="1" applyBorder="1" applyProtection="1"/>
    <xf numFmtId="0" fontId="0" fillId="0" borderId="0" xfId="0" applyAlignment="1">
      <alignment wrapText="1"/>
    </xf>
    <xf numFmtId="0" fontId="2" fillId="0" borderId="0" xfId="43" applyFont="1"/>
    <xf numFmtId="0" fontId="61" fillId="0" borderId="0" xfId="43" applyFont="1" applyAlignment="1">
      <alignment horizontal="center" vertical="center"/>
    </xf>
    <xf numFmtId="0" fontId="61" fillId="0" borderId="0" xfId="43" applyFont="1" applyAlignment="1">
      <alignment horizontal="left" vertical="center"/>
    </xf>
    <xf numFmtId="0" fontId="72" fillId="0" borderId="0" xfId="43" applyFont="1"/>
    <xf numFmtId="0" fontId="1" fillId="41" borderId="0" xfId="43" applyFont="1" applyFill="1" applyProtection="1">
      <protection locked="0"/>
    </xf>
    <xf numFmtId="49" fontId="13" fillId="0" borderId="0" xfId="0" applyNumberFormat="1" applyFont="1" applyAlignment="1">
      <alignment horizontal="center"/>
    </xf>
    <xf numFmtId="0" fontId="67" fillId="0" borderId="0" xfId="0" applyFont="1" applyAlignment="1">
      <alignment horizontal="center"/>
    </xf>
    <xf numFmtId="49" fontId="67" fillId="7" borderId="0" xfId="0" applyNumberFormat="1" applyFont="1" applyFill="1" applyAlignment="1"/>
    <xf numFmtId="0" fontId="67" fillId="7" borderId="0" xfId="0" applyFont="1" applyFill="1" applyAlignment="1"/>
    <xf numFmtId="0" fontId="30" fillId="0" borderId="0" xfId="0" applyFont="1" applyAlignment="1">
      <alignment horizontal="center"/>
    </xf>
    <xf numFmtId="0" fontId="30" fillId="0" borderId="0" xfId="0" applyFont="1" applyAlignment="1"/>
    <xf numFmtId="0" fontId="13" fillId="0" borderId="0" xfId="0" applyFont="1" applyAlignment="1">
      <alignment horizontal="center"/>
    </xf>
    <xf numFmtId="0" fontId="13" fillId="0" borderId="22" xfId="0" applyFont="1" applyBorder="1" applyAlignment="1">
      <alignment horizontal="center"/>
    </xf>
    <xf numFmtId="0" fontId="13" fillId="0" borderId="14" xfId="0" applyFont="1" applyBorder="1" applyAlignment="1">
      <alignment horizontal="center"/>
    </xf>
    <xf numFmtId="0" fontId="0" fillId="0" borderId="0" xfId="0" applyAlignment="1"/>
    <xf numFmtId="0" fontId="44" fillId="0" borderId="0" xfId="0" applyFont="1" applyAlignment="1">
      <alignment horizontal="left" vertical="top" wrapText="1"/>
    </xf>
    <xf numFmtId="4" fontId="40" fillId="0" borderId="0" xfId="0" applyNumberFormat="1" applyFont="1" applyBorder="1" applyAlignment="1" applyProtection="1">
      <alignment wrapText="1"/>
    </xf>
    <xf numFmtId="0" fontId="0" fillId="0" borderId="0" xfId="0" applyAlignment="1">
      <alignment wrapText="1"/>
    </xf>
    <xf numFmtId="0" fontId="28" fillId="0" borderId="0" xfId="0" applyFont="1" applyAlignment="1">
      <alignment horizontal="center"/>
    </xf>
    <xf numFmtId="49" fontId="13" fillId="0" borderId="0" xfId="0" applyNumberFormat="1" applyFont="1" applyAlignment="1" applyProtection="1">
      <alignment horizontal="center"/>
    </xf>
    <xf numFmtId="49" fontId="14" fillId="0" borderId="0" xfId="0" applyNumberFormat="1" applyFont="1" applyBorder="1" applyAlignment="1" applyProtection="1">
      <alignment horizontal="left"/>
      <protection locked="0"/>
    </xf>
    <xf numFmtId="49" fontId="14" fillId="0" borderId="10" xfId="0" applyNumberFormat="1" applyFont="1" applyBorder="1" applyAlignment="1" applyProtection="1">
      <alignment horizontal="left"/>
      <protection locked="0"/>
    </xf>
    <xf numFmtId="49" fontId="14" fillId="0" borderId="13" xfId="0" applyNumberFormat="1" applyFont="1" applyBorder="1" applyAlignment="1" applyProtection="1">
      <alignment horizontal="left"/>
      <protection locked="0"/>
    </xf>
    <xf numFmtId="49" fontId="14" fillId="0" borderId="19" xfId="0" applyNumberFormat="1" applyFont="1" applyBorder="1" applyAlignment="1" applyProtection="1">
      <alignment horizontal="left"/>
      <protection locked="0"/>
    </xf>
    <xf numFmtId="0" fontId="32" fillId="0" borderId="0" xfId="0" applyFont="1" applyAlignment="1" applyProtection="1">
      <alignment horizontal="center"/>
    </xf>
    <xf numFmtId="49" fontId="14" fillId="0" borderId="0" xfId="0" applyNumberFormat="1" applyFont="1" applyAlignment="1" applyProtection="1">
      <alignment horizontal="left"/>
      <protection locked="0"/>
    </xf>
    <xf numFmtId="49" fontId="14" fillId="0" borderId="0" xfId="0" applyNumberFormat="1" applyFont="1" applyAlignment="1" applyProtection="1">
      <alignment horizontal="left"/>
    </xf>
    <xf numFmtId="49" fontId="14" fillId="0" borderId="0" xfId="0" applyNumberFormat="1" applyFont="1" applyBorder="1" applyAlignment="1" applyProtection="1">
      <alignment horizontal="left"/>
    </xf>
    <xf numFmtId="49" fontId="14" fillId="0" borderId="10" xfId="0" applyNumberFormat="1" applyFont="1" applyBorder="1" applyAlignment="1" applyProtection="1">
      <alignment horizontal="left"/>
    </xf>
    <xf numFmtId="0" fontId="31" fillId="0" borderId="20" xfId="0" applyFont="1" applyBorder="1" applyAlignment="1">
      <alignment horizontal="center"/>
    </xf>
    <xf numFmtId="0" fontId="31" fillId="0" borderId="8" xfId="0" applyFont="1" applyBorder="1" applyAlignment="1">
      <alignment horizontal="center"/>
    </xf>
    <xf numFmtId="0" fontId="13" fillId="0" borderId="0" xfId="0" applyFont="1" applyBorder="1" applyAlignment="1">
      <alignment horizontal="center"/>
    </xf>
    <xf numFmtId="0" fontId="13" fillId="0" borderId="10" xfId="0" applyFont="1" applyBorder="1" applyAlignment="1">
      <alignment horizontal="center"/>
    </xf>
    <xf numFmtId="49" fontId="34" fillId="0" borderId="0" xfId="0" applyNumberFormat="1" applyFont="1" applyBorder="1" applyAlignment="1"/>
    <xf numFmtId="0" fontId="34" fillId="0" borderId="0" xfId="0" applyFont="1" applyBorder="1" applyAlignment="1"/>
    <xf numFmtId="0" fontId="33" fillId="0" borderId="11" xfId="0" applyFont="1" applyBorder="1" applyAlignment="1">
      <alignment horizontal="center"/>
    </xf>
    <xf numFmtId="0" fontId="33" fillId="0" borderId="0" xfId="0" applyFont="1" applyBorder="1" applyAlignment="1">
      <alignment horizontal="center"/>
    </xf>
    <xf numFmtId="4" fontId="73"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63" activePane="bottomRight" state="frozen"/>
      <selection pane="topRight" activeCell="F1" sqref="F1"/>
      <selection pane="bottomLeft" activeCell="A4" sqref="A4"/>
      <selection pane="bottomRight" activeCell="G664" sqref="G664"/>
    </sheetView>
  </sheetViews>
  <sheetFormatPr defaultRowHeight="12.2" customHeight="1" x14ac:dyDescent="0.2"/>
  <cols>
    <col min="1" max="1" width="45.1640625" customWidth="1"/>
    <col min="2" max="2" width="5.332031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29</v>
      </c>
      <c r="C2" s="21">
        <v>29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2046660</v>
      </c>
      <c r="G9" s="18"/>
      <c r="H9" s="18"/>
      <c r="I9" s="18">
        <v>32315</v>
      </c>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71357</v>
      </c>
      <c r="G12" s="18">
        <v>2574</v>
      </c>
      <c r="H12" s="18"/>
      <c r="I12" s="18">
        <v>122000</v>
      </c>
      <c r="J12" s="67">
        <f>SUM(I442)</f>
        <v>307101</v>
      </c>
      <c r="K12" s="24" t="s">
        <v>288</v>
      </c>
      <c r="L12" s="24" t="s">
        <v>288</v>
      </c>
      <c r="M12" s="8"/>
      <c r="N12" s="264"/>
    </row>
    <row r="13" spans="1:14" s="3" customFormat="1" ht="12.2" customHeight="1" x14ac:dyDescent="0.15">
      <c r="A13" s="1" t="s">
        <v>604</v>
      </c>
      <c r="B13" s="2" t="s">
        <v>289</v>
      </c>
      <c r="C13" s="6">
        <v>5</v>
      </c>
      <c r="D13" s="2" t="s">
        <v>428</v>
      </c>
      <c r="E13" s="6">
        <v>140</v>
      </c>
      <c r="F13" s="18">
        <v>23207</v>
      </c>
      <c r="G13" s="18">
        <v>45042</v>
      </c>
      <c r="H13" s="18">
        <v>99271</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1060</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2142284</v>
      </c>
      <c r="G19" s="41">
        <f>SUM(G9:G18)</f>
        <v>47616</v>
      </c>
      <c r="H19" s="41">
        <f>SUM(H9:H18)</f>
        <v>99271</v>
      </c>
      <c r="I19" s="41">
        <f>SUM(I9:I18)</f>
        <v>154315</v>
      </c>
      <c r="J19" s="41">
        <f>SUM(J9:J18)</f>
        <v>307101</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124574</v>
      </c>
      <c r="G22" s="18"/>
      <c r="H22" s="18">
        <v>71357</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126618</v>
      </c>
      <c r="G24" s="18">
        <v>30</v>
      </c>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9254</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v>12111</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260446</v>
      </c>
      <c r="G32" s="41">
        <f>SUM(G22:G31)</f>
        <v>12141</v>
      </c>
      <c r="H32" s="41">
        <f>SUM(H22:H31)</f>
        <v>71357</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35475</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v>154315</v>
      </c>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27914</v>
      </c>
      <c r="I48" s="18"/>
      <c r="J48" s="13">
        <f>SUM(I460)</f>
        <v>307101</v>
      </c>
      <c r="K48" s="24" t="s">
        <v>288</v>
      </c>
      <c r="L48" s="24" t="s">
        <v>288</v>
      </c>
      <c r="M48" s="8"/>
      <c r="N48" s="264"/>
    </row>
    <row r="49" spans="1:14" s="3" customFormat="1" ht="12.2" customHeight="1" x14ac:dyDescent="0.15">
      <c r="A49" s="1" t="s">
        <v>859</v>
      </c>
      <c r="B49" s="2" t="s">
        <v>289</v>
      </c>
      <c r="C49" s="6">
        <v>34</v>
      </c>
      <c r="D49" s="2"/>
      <c r="E49" s="6">
        <v>753</v>
      </c>
      <c r="F49" s="18">
        <v>476239</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1405599</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1881838</v>
      </c>
      <c r="G51" s="41">
        <f>SUM(G35:G50)</f>
        <v>35475</v>
      </c>
      <c r="H51" s="41">
        <f>SUM(H35:H50)</f>
        <v>27914</v>
      </c>
      <c r="I51" s="41">
        <f>SUM(I35:I50)</f>
        <v>154315</v>
      </c>
      <c r="J51" s="41">
        <f>SUM(J35:J50)</f>
        <v>307101</v>
      </c>
      <c r="K51" s="45" t="s">
        <v>288</v>
      </c>
      <c r="L51" s="45" t="s">
        <v>288</v>
      </c>
      <c r="N51" s="262"/>
    </row>
    <row r="52" spans="1:14" s="3" customFormat="1" ht="12.2" customHeight="1" thickTop="1" x14ac:dyDescent="0.15">
      <c r="A52" s="38" t="s">
        <v>455</v>
      </c>
      <c r="B52" s="39" t="s">
        <v>289</v>
      </c>
      <c r="C52" s="6">
        <v>37</v>
      </c>
      <c r="D52" s="39" t="s">
        <v>653</v>
      </c>
      <c r="E52" s="39"/>
      <c r="F52" s="41">
        <f>F51+F32</f>
        <v>2142284</v>
      </c>
      <c r="G52" s="41">
        <f>G51+G32</f>
        <v>47616</v>
      </c>
      <c r="H52" s="41">
        <f>H51+H32</f>
        <v>99271</v>
      </c>
      <c r="I52" s="41">
        <f>I51+I32</f>
        <v>154315</v>
      </c>
      <c r="J52" s="41">
        <f>J51+J32</f>
        <v>307101</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10880863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10880863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11910</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11910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1682</v>
      </c>
      <c r="G96" s="18"/>
      <c r="H96" s="18"/>
      <c r="I96" s="18">
        <v>588</v>
      </c>
      <c r="J96" s="18">
        <v>490.14</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15248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2000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300</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562</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2347</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6591</v>
      </c>
      <c r="G111" s="41">
        <f>SUM(G96:G110)</f>
        <v>15248</v>
      </c>
      <c r="H111" s="41">
        <f>SUM(H96:H110)</f>
        <v>300</v>
      </c>
      <c r="I111" s="41">
        <f>SUM(I96:I110)</f>
        <v>588</v>
      </c>
      <c r="J111" s="41">
        <f>SUM(J96:J110)</f>
        <v>490.14</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10899364</v>
      </c>
      <c r="G112" s="41">
        <f>G60+G111</f>
        <v>15248</v>
      </c>
      <c r="H112" s="41">
        <f>H60+H79+H94+H111</f>
        <v>300</v>
      </c>
      <c r="I112" s="41">
        <f>I60+I111</f>
        <v>588</v>
      </c>
      <c r="J112" s="41">
        <f>J60+J111</f>
        <v>490.14</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2372514</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1645684</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4020193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201187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2699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v>8400</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201187</v>
      </c>
      <c r="G136" s="41">
        <f>SUM(G123:G135)</f>
        <v>2699</v>
      </c>
      <c r="H136" s="41">
        <f>SUM(H123:H135)</f>
        <v>8400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4221380</v>
      </c>
      <c r="G140" s="41">
        <f>G121+SUM(G136:G137)</f>
        <v>2699</v>
      </c>
      <c r="H140" s="41">
        <f>H121+SUM(H136:H139)</f>
        <v>8400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v>169915</v>
      </c>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169915</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5289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37646</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27934</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136153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188800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2885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13</v>
      </c>
      <c r="G163" s="41">
        <f>SUM(G150:G162)</f>
        <v>27934</v>
      </c>
      <c r="H163" s="41">
        <f>SUM(H150:H162)</f>
        <v>370773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13</v>
      </c>
      <c r="G170" s="41">
        <f>G147+G163+SUM(G164:G169)</f>
        <v>197849</v>
      </c>
      <c r="H170" s="41">
        <f>H147+H163+SUM(H164:H169)</f>
        <v>370773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15120757</v>
      </c>
      <c r="G194" s="47">
        <f>G112+G140+G170+G193</f>
        <v>215796</v>
      </c>
      <c r="H194" s="47">
        <f>H112+H140+H170+H193</f>
        <v>379473</v>
      </c>
      <c r="I194" s="47">
        <f>I112+I140+I170+I193</f>
        <v>588</v>
      </c>
      <c r="J194" s="47">
        <f>J112+J140+J193</f>
        <v>490.14</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2374631+44639+85733+29000</f>
        <v>2534003</v>
      </c>
      <c r="G198" s="18">
        <f>600353+13557+3811+6502+184647+417556+14958+3540+796+5990</f>
        <v>1251710</v>
      </c>
      <c r="H198" s="18">
        <v>2975</v>
      </c>
      <c r="I198" s="18">
        <f>27368+5019+344+145+6184+1841+2664+1558+1149+588+2187+276+140560+168+1860+27934+6251+3694+848+1176</f>
        <v>231814</v>
      </c>
      <c r="J198" s="18">
        <f>33931+258</f>
        <v>34189</v>
      </c>
      <c r="K198" s="18">
        <v>100</v>
      </c>
      <c r="L198" s="19">
        <f>SUM(F198:K198)</f>
        <v>4054791</v>
      </c>
      <c r="M198" s="8"/>
      <c r="N198" s="264"/>
    </row>
    <row r="199" spans="1:14" s="3" customFormat="1" ht="12.2" customHeight="1" x14ac:dyDescent="0.15">
      <c r="A199" s="1" t="s">
        <v>439</v>
      </c>
      <c r="B199" s="2" t="s">
        <v>341</v>
      </c>
      <c r="C199" s="2" t="s">
        <v>291</v>
      </c>
      <c r="D199" s="2" t="s">
        <v>431</v>
      </c>
      <c r="E199" s="6">
        <v>1200</v>
      </c>
      <c r="F199" s="18">
        <f>88535+267851+168331+28066+2500+13648+908+1360+18579</f>
        <v>589778</v>
      </c>
      <c r="G199" s="18">
        <f>121034+3092+805+978+41315+3090+62617+373+1434+1218+173+2128+1421+19+31</f>
        <v>239728</v>
      </c>
      <c r="H199" s="18">
        <f>64727+3337+360+200+7+3838+1900+9427</f>
        <v>83796</v>
      </c>
      <c r="I199" s="18">
        <f>5731+718</f>
        <v>6449</v>
      </c>
      <c r="J199" s="18"/>
      <c r="K199" s="18">
        <v>805</v>
      </c>
      <c r="L199" s="19">
        <f>SUM(F199:K199)</f>
        <v>920556</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f>4575+15300+4950+1450</f>
        <v>26275</v>
      </c>
      <c r="G201" s="18">
        <f>329+814+1162+445+490+1139</f>
        <v>4379</v>
      </c>
      <c r="H201" s="18">
        <v>3686</v>
      </c>
      <c r="I201" s="18">
        <f>250+1074+2120+195</f>
        <v>3639</v>
      </c>
      <c r="J201" s="18">
        <f>1903+4707</f>
        <v>6610</v>
      </c>
      <c r="K201" s="18">
        <v>700</v>
      </c>
      <c r="L201" s="19">
        <f>SUM(F201:K201)</f>
        <v>45289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102475+53889+500+43733+139893+74385</f>
        <v>414875</v>
      </c>
      <c r="G203" s="18">
        <f>33927+464+161+231+7456+18098+37+242+24142+389+87+145+3685+9521+19+128+67+129+3346+7772+18514+844+192+342+10482+24759+37+277+9785+464+114+198+5091+12891+19+172</f>
        <v>194227</v>
      </c>
      <c r="H203" s="18">
        <f>1600+3301+4795+3173+10250+2393+10926</f>
        <v>36438</v>
      </c>
      <c r="I203" s="18">
        <f>1326+219+1143+531+2271+584+840+1477</f>
        <v>8391</v>
      </c>
      <c r="J203" s="18"/>
      <c r="K203" s="18">
        <v>179</v>
      </c>
      <c r="L203" s="19">
        <f t="shared" ref="L203:L209" si="0">SUM(F203:K203)</f>
        <v>654110</v>
      </c>
      <c r="M203" s="8"/>
      <c r="N203" s="264"/>
    </row>
    <row r="204" spans="1:14" s="3" customFormat="1" ht="12.2" customHeight="1" x14ac:dyDescent="0.15">
      <c r="A204" s="1" t="s">
        <v>443</v>
      </c>
      <c r="B204" s="2" t="s">
        <v>341</v>
      </c>
      <c r="C204" s="2" t="s">
        <v>295</v>
      </c>
      <c r="D204" s="2" t="s">
        <v>431</v>
      </c>
      <c r="E204" s="6">
        <v>2200</v>
      </c>
      <c r="F204" s="18">
        <f>87364+72840+8146</f>
        <v>168350</v>
      </c>
      <c r="G204" s="18">
        <f>24142+389+132+217+6275+15117+3762+19+203+10524+490+137+199+5787+12894+37+230</f>
        <v>80554</v>
      </c>
      <c r="H204" s="18">
        <v>1056</v>
      </c>
      <c r="I204" s="18">
        <f>507+2064+7543+705</f>
        <v>10819</v>
      </c>
      <c r="J204" s="18"/>
      <c r="K204" s="18"/>
      <c r="L204" s="19">
        <f t="shared" si="0"/>
        <v>260779</v>
      </c>
      <c r="M204" s="8"/>
      <c r="N204" s="264"/>
    </row>
    <row r="205" spans="1:14" s="3" customFormat="1" ht="12.2" customHeight="1" x14ac:dyDescent="0.15">
      <c r="A205" s="1" t="s">
        <v>444</v>
      </c>
      <c r="B205" s="2" t="s">
        <v>341</v>
      </c>
      <c r="C205" s="2" t="s">
        <v>296</v>
      </c>
      <c r="D205" s="2" t="s">
        <v>431</v>
      </c>
      <c r="E205" s="6">
        <v>2300</v>
      </c>
      <c r="F205" s="18">
        <f>6100+1150+2608</f>
        <v>9858</v>
      </c>
      <c r="G205" s="18">
        <f>754+301</f>
        <v>1055</v>
      </c>
      <c r="H205" s="18">
        <f>8326+1900+28406+250+327826</f>
        <v>366708</v>
      </c>
      <c r="I205" s="18">
        <f>329+360</f>
        <v>689</v>
      </c>
      <c r="J205" s="18"/>
      <c r="K205" s="18">
        <v>4168</v>
      </c>
      <c r="L205" s="19">
        <f t="shared" si="0"/>
        <v>382478</v>
      </c>
      <c r="M205" s="8"/>
      <c r="N205" s="264"/>
    </row>
    <row r="206" spans="1:14" s="3" customFormat="1" ht="12.2" customHeight="1" x14ac:dyDescent="0.15">
      <c r="A206" s="1" t="s">
        <v>445</v>
      </c>
      <c r="B206" s="2" t="s">
        <v>341</v>
      </c>
      <c r="C206" s="2" t="s">
        <v>297</v>
      </c>
      <c r="D206" s="2" t="s">
        <v>431</v>
      </c>
      <c r="E206" s="6">
        <v>2400</v>
      </c>
      <c r="F206" s="18">
        <f>113498+66818+86533+750</f>
        <v>267599</v>
      </c>
      <c r="G206" s="18">
        <f>51882+1528+378+632+19586+7374+34089+3186+458+75+642</f>
        <v>119830</v>
      </c>
      <c r="H206" s="18">
        <f>19991+17436+25340+1565+758+340+222</f>
        <v>65652</v>
      </c>
      <c r="I206" s="18">
        <v>1862</v>
      </c>
      <c r="J206" s="18">
        <f>5045+212</f>
        <v>5257</v>
      </c>
      <c r="K206" s="18">
        <v>1297</v>
      </c>
      <c r="L206" s="19">
        <f t="shared" si="0"/>
        <v>461497</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f>81472+124076</f>
        <v>205548</v>
      </c>
      <c r="G208" s="18">
        <f>30413+1443+312+453+15670+22696+112+3986</f>
        <v>75085</v>
      </c>
      <c r="H208" s="18">
        <f>14791+9183+18244+4558+77092+360+8738+7840+20020+25903+375</f>
        <v>187104</v>
      </c>
      <c r="I208" s="18">
        <f>15942+6273+40907+66880</f>
        <v>130002</v>
      </c>
      <c r="J208" s="18">
        <f>14369+1317</f>
        <v>15686</v>
      </c>
      <c r="K208" s="18"/>
      <c r="L208" s="19">
        <f t="shared" si="0"/>
        <v>613425</v>
      </c>
      <c r="M208" s="8"/>
      <c r="N208" s="264"/>
    </row>
    <row r="209" spans="1:14" s="3" customFormat="1" ht="12.2" customHeight="1" x14ac:dyDescent="0.15">
      <c r="A209" s="1" t="s">
        <v>448</v>
      </c>
      <c r="B209" s="2" t="s">
        <v>341</v>
      </c>
      <c r="C209" s="2" t="s">
        <v>300</v>
      </c>
      <c r="D209" s="2" t="s">
        <v>431</v>
      </c>
      <c r="E209" s="6">
        <v>2700</v>
      </c>
      <c r="F209" s="18"/>
      <c r="G209" s="18"/>
      <c r="H209" s="18">
        <v>521971.33</v>
      </c>
      <c r="I209" s="18"/>
      <c r="J209" s="18"/>
      <c r="K209" s="18"/>
      <c r="L209" s="19">
        <f t="shared" si="0"/>
        <v>521971.33</v>
      </c>
      <c r="M209" s="8"/>
      <c r="N209" s="264"/>
    </row>
    <row r="210" spans="1:14" s="3" customFormat="1" ht="12.2" customHeight="1" x14ac:dyDescent="0.15">
      <c r="A210" s="1" t="s">
        <v>449</v>
      </c>
      <c r="B210" s="2" t="s">
        <v>341</v>
      </c>
      <c r="C210" s="2" t="s">
        <v>343</v>
      </c>
      <c r="D210" s="2" t="s">
        <v>431</v>
      </c>
      <c r="E210" s="6">
        <v>2800</v>
      </c>
      <c r="F210" s="18">
        <f>79207+545</f>
        <v>79752</v>
      </c>
      <c r="G210" s="18">
        <f>18514+464+121+208+5945+8367+261+19+188</f>
        <v>34087</v>
      </c>
      <c r="H210" s="18">
        <f>17199+3302</f>
        <v>20501</v>
      </c>
      <c r="I210" s="18">
        <f>23976+2111</f>
        <v>26087</v>
      </c>
      <c r="J210" s="18">
        <f>811+149618</f>
        <v>150429</v>
      </c>
      <c r="K210" s="18">
        <v>400</v>
      </c>
      <c r="L210" s="19">
        <f>SUM(F210:K210)</f>
        <v>311256</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4296038</v>
      </c>
      <c r="G212" s="41">
        <f t="shared" si="1"/>
        <v>2000655</v>
      </c>
      <c r="H212" s="41">
        <f t="shared" si="1"/>
        <v>1289887.33</v>
      </c>
      <c r="I212" s="41">
        <f t="shared" si="1"/>
        <v>419752</v>
      </c>
      <c r="J212" s="41">
        <f t="shared" si="1"/>
        <v>212171</v>
      </c>
      <c r="K212" s="41">
        <f t="shared" si="1"/>
        <v>7649</v>
      </c>
      <c r="L212" s="41">
        <f t="shared" si="1"/>
        <v>8226152.3300000001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f>51905+176990+7532</f>
        <v>236427</v>
      </c>
      <c r="I217" s="18"/>
      <c r="J217" s="18"/>
      <c r="K217" s="18"/>
      <c r="L217" s="19">
        <f>SUM(F217:K217)</f>
        <v>236427</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236427</v>
      </c>
      <c r="I230" s="41">
        <f>SUM(I216:I229)</f>
        <v>0</v>
      </c>
      <c r="J230" s="41">
        <f>SUM(J216:J229)</f>
        <v>0</v>
      </c>
      <c r="K230" s="41">
        <f t="shared" si="3"/>
        <v>0</v>
      </c>
      <c r="L230" s="41">
        <f t="shared" si="3"/>
        <v>236427</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f>24000+3378153</f>
        <v>3402153</v>
      </c>
      <c r="I234" s="18"/>
      <c r="J234" s="18"/>
      <c r="K234" s="18"/>
      <c r="L234" s="19">
        <f>SUM(F234:K234)</f>
        <v>3402153</v>
      </c>
      <c r="M234" s="8"/>
      <c r="N234" s="264"/>
    </row>
    <row r="235" spans="1:14" s="3" customFormat="1" ht="12.2" customHeight="1" x14ac:dyDescent="0.15">
      <c r="A235" s="1" t="s">
        <v>439</v>
      </c>
      <c r="B235" s="2" t="s">
        <v>350</v>
      </c>
      <c r="C235" s="2" t="s">
        <v>291</v>
      </c>
      <c r="D235" s="2" t="s">
        <v>431</v>
      </c>
      <c r="E235" s="6">
        <v>1200</v>
      </c>
      <c r="F235" s="18"/>
      <c r="G235" s="18"/>
      <c r="H235" s="18">
        <f>21520+25135+832888+461694+7315</f>
        <v>1348552</v>
      </c>
      <c r="I235" s="18"/>
      <c r="J235" s="18"/>
      <c r="K235" s="18"/>
      <c r="L235" s="19">
        <f>SUM(F235:K235)</f>
        <v>1348552</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f>13486+11429</f>
        <v>24915</v>
      </c>
      <c r="I239" s="18"/>
      <c r="J239" s="18"/>
      <c r="K239" s="18"/>
      <c r="L239" s="19">
        <f t="shared" ref="L239:L245" si="4">SUM(F239:K239)</f>
        <v>24915</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258481.67</v>
      </c>
      <c r="I245" s="18"/>
      <c r="J245" s="18"/>
      <c r="K245" s="18"/>
      <c r="L245" s="19">
        <f t="shared" si="4"/>
        <v>258481.67</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5034101.67</v>
      </c>
      <c r="I248" s="41">
        <f t="shared" si="5"/>
        <v>0</v>
      </c>
      <c r="J248" s="41">
        <f t="shared" si="5"/>
        <v>0</v>
      </c>
      <c r="K248" s="41">
        <f t="shared" si="5"/>
        <v>0</v>
      </c>
      <c r="L248" s="41">
        <f t="shared" si="5"/>
        <v>5034101.67</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4296038</v>
      </c>
      <c r="G258" s="41">
        <f t="shared" si="8"/>
        <v>2000655</v>
      </c>
      <c r="H258" s="41">
        <f t="shared" si="8"/>
        <v>6560416</v>
      </c>
      <c r="I258" s="41">
        <f t="shared" si="8"/>
        <v>419752</v>
      </c>
      <c r="J258" s="41">
        <f t="shared" si="8"/>
        <v>212171</v>
      </c>
      <c r="K258" s="41">
        <f t="shared" si="8"/>
        <v>7649</v>
      </c>
      <c r="L258" s="41">
        <f t="shared" si="8"/>
        <v>13496681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640000</v>
      </c>
      <c r="L261" s="19">
        <f>SUM(F261:K261)</f>
        <v>640000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537553</v>
      </c>
      <c r="L262" s="19">
        <f>SUM(F262:K262)</f>
        <v>537553</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1177553</v>
      </c>
      <c r="L271" s="41">
        <f t="shared" si="9"/>
        <v>1177553</v>
      </c>
      <c r="M271" s="8"/>
      <c r="N271" s="264"/>
    </row>
    <row r="272" spans="1:14" s="34" customFormat="1" ht="12.2" customHeight="1" thickTop="1" x14ac:dyDescent="0.2">
      <c r="A272" s="43" t="s">
        <v>464</v>
      </c>
      <c r="B272" s="40">
        <v>10</v>
      </c>
      <c r="C272" s="40">
        <v>18</v>
      </c>
      <c r="D272" s="39" t="s">
        <v>431</v>
      </c>
      <c r="E272" s="40"/>
      <c r="F272" s="42">
        <f t="shared" ref="F272:L272" si="11">F258+F271</f>
        <v>4296038</v>
      </c>
      <c r="G272" s="42">
        <f t="shared" si="11"/>
        <v>2000655</v>
      </c>
      <c r="H272" s="42">
        <f t="shared" si="11"/>
        <v>6560416</v>
      </c>
      <c r="I272" s="42">
        <f t="shared" si="11"/>
        <v>419752</v>
      </c>
      <c r="J272" s="42">
        <f t="shared" si="11"/>
        <v>212171</v>
      </c>
      <c r="K272" s="42">
        <f t="shared" si="11"/>
        <v>1185202</v>
      </c>
      <c r="L272" s="42">
        <f t="shared" si="11"/>
        <v>14674234</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3800+22068+20844</f>
        <v>46712</v>
      </c>
      <c r="G277" s="18">
        <f>283+587+3283+2453</f>
        <v>6606</v>
      </c>
      <c r="H277" s="18">
        <f>420</f>
        <v>420</v>
      </c>
      <c r="I277" s="18">
        <f>2737+4799+465+63602+3688+2948+148+2378</f>
        <v>80765</v>
      </c>
      <c r="J277" s="18">
        <f>19031+5</f>
        <v>19036</v>
      </c>
      <c r="K277" s="18"/>
      <c r="L277" s="19">
        <f>SUM(F277:K277)</f>
        <v>153539</v>
      </c>
      <c r="M277" s="8"/>
      <c r="N277" s="264"/>
    </row>
    <row r="278" spans="1:14" s="3" customFormat="1" ht="12.2" customHeight="1" x14ac:dyDescent="0.15">
      <c r="A278" s="1" t="s">
        <v>439</v>
      </c>
      <c r="B278" s="2" t="s">
        <v>357</v>
      </c>
      <c r="C278" s="2" t="s">
        <v>291</v>
      </c>
      <c r="D278" s="2" t="s">
        <v>431</v>
      </c>
      <c r="E278" s="6">
        <v>1200</v>
      </c>
      <c r="F278" s="18">
        <v>43041</v>
      </c>
      <c r="G278" s="18">
        <f>3066+7661</f>
        <v>10727</v>
      </c>
      <c r="H278" s="18">
        <f>2200+7320</f>
        <v>9520</v>
      </c>
      <c r="I278" s="18">
        <f>7647+359+18654+3314+8690+3880</f>
        <v>42544</v>
      </c>
      <c r="J278" s="18">
        <v>4828</v>
      </c>
      <c r="K278" s="18"/>
      <c r="L278" s="19">
        <f>SUM(F278:K278)</f>
        <v>110660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941+18740</f>
        <v>19681</v>
      </c>
      <c r="G282" s="18">
        <f>72+1434</f>
        <v>1506</v>
      </c>
      <c r="H282" s="18">
        <v>5000</v>
      </c>
      <c r="I282" s="18">
        <v>292</v>
      </c>
      <c r="J282" s="18"/>
      <c r="K282" s="18"/>
      <c r="L282" s="19">
        <f t="shared" ref="L282:L288" si="12">SUM(F282:K282)</f>
        <v>26479</v>
      </c>
      <c r="M282" s="8"/>
      <c r="N282" s="264"/>
    </row>
    <row r="283" spans="1:14" s="3" customFormat="1" ht="12.2" customHeight="1" x14ac:dyDescent="0.15">
      <c r="A283" s="1" t="s">
        <v>443</v>
      </c>
      <c r="B283" s="2" t="s">
        <v>357</v>
      </c>
      <c r="C283" s="2" t="s">
        <v>295</v>
      </c>
      <c r="D283" s="2" t="s">
        <v>431</v>
      </c>
      <c r="E283" s="6">
        <v>2200</v>
      </c>
      <c r="F283" s="18">
        <f>4175+875</f>
        <v>5050</v>
      </c>
      <c r="G283" s="18">
        <f>307+65+705+156</f>
        <v>1233</v>
      </c>
      <c r="H283" s="18">
        <f>1033+2550+1320</f>
        <v>4903</v>
      </c>
      <c r="I283" s="18">
        <v>1540</v>
      </c>
      <c r="J283" s="18"/>
      <c r="K283" s="18"/>
      <c r="L283" s="19">
        <f t="shared" si="12"/>
        <v>12726</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f>1467+619+614+193+38</f>
        <v>2931</v>
      </c>
      <c r="L286" s="19">
        <f t="shared" si="12"/>
        <v>2931</v>
      </c>
      <c r="M286" s="8"/>
      <c r="N286" s="264"/>
    </row>
    <row r="287" spans="1:14" s="3" customFormat="1" ht="12.2" customHeight="1" x14ac:dyDescent="0.15">
      <c r="A287" s="1" t="s">
        <v>447</v>
      </c>
      <c r="B287" s="2" t="s">
        <v>357</v>
      </c>
      <c r="C287" s="2" t="s">
        <v>299</v>
      </c>
      <c r="D287" s="2" t="s">
        <v>431</v>
      </c>
      <c r="E287" s="6">
        <v>2600</v>
      </c>
      <c r="F287" s="18"/>
      <c r="G287" s="18"/>
      <c r="H287" s="18">
        <v>4101</v>
      </c>
      <c r="I287" s="18">
        <v>45425</v>
      </c>
      <c r="J287" s="18">
        <v>2949</v>
      </c>
      <c r="K287" s="18"/>
      <c r="L287" s="19">
        <f t="shared" si="12"/>
        <v>52475</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f>550+1260</f>
        <v>1810</v>
      </c>
      <c r="G289" s="18">
        <f>39+98+96</f>
        <v>233</v>
      </c>
      <c r="H289" s="18">
        <f>3000</f>
        <v>3000</v>
      </c>
      <c r="I289" s="18"/>
      <c r="J289" s="18">
        <f>1112+6228</f>
        <v>7340</v>
      </c>
      <c r="K289" s="18"/>
      <c r="L289" s="19">
        <f>SUM(F289:K289)</f>
        <v>12383</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116294</v>
      </c>
      <c r="G291" s="42">
        <f t="shared" si="13"/>
        <v>20305</v>
      </c>
      <c r="H291" s="42">
        <f t="shared" si="13"/>
        <v>26944</v>
      </c>
      <c r="I291" s="42">
        <f t="shared" si="13"/>
        <v>170566</v>
      </c>
      <c r="J291" s="42">
        <f t="shared" si="13"/>
        <v>34153</v>
      </c>
      <c r="K291" s="42">
        <f t="shared" si="13"/>
        <v>2931</v>
      </c>
      <c r="L291" s="41">
        <f t="shared" si="13"/>
        <v>371193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116294</v>
      </c>
      <c r="G339" s="41">
        <f t="shared" si="20"/>
        <v>20305</v>
      </c>
      <c r="H339" s="41">
        <f t="shared" si="20"/>
        <v>26944</v>
      </c>
      <c r="I339" s="41">
        <f t="shared" si="20"/>
        <v>170566</v>
      </c>
      <c r="J339" s="41">
        <f t="shared" si="20"/>
        <v>34153</v>
      </c>
      <c r="K339" s="41">
        <f t="shared" si="20"/>
        <v>2931</v>
      </c>
      <c r="L339" s="41">
        <f t="shared" si="20"/>
        <v>371193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116294</v>
      </c>
      <c r="G353" s="41">
        <f>G339</f>
        <v>20305</v>
      </c>
      <c r="H353" s="41">
        <f>H339</f>
        <v>26944</v>
      </c>
      <c r="I353" s="41">
        <f>I339</f>
        <v>170566</v>
      </c>
      <c r="J353" s="41">
        <f>J339</f>
        <v>34153</v>
      </c>
      <c r="K353" s="47">
        <f>K339+K352</f>
        <v>2931</v>
      </c>
      <c r="L353" s="41">
        <f>L339+L352</f>
        <v>371193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66160</v>
      </c>
      <c r="G359" s="18">
        <f>9785+464+29+90+5003+4072+93+967</f>
        <v>20503</v>
      </c>
      <c r="H359" s="18">
        <f>700+605</f>
        <v>1305</v>
      </c>
      <c r="I359" s="18">
        <f>8646+65965+15667+1679</f>
        <v>91957</v>
      </c>
      <c r="J359" s="18">
        <v>396</v>
      </c>
      <c r="K359" s="18"/>
      <c r="L359" s="13">
        <f>SUM(F359:K359)</f>
        <v>180321</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66160</v>
      </c>
      <c r="G363" s="47">
        <f t="shared" si="22"/>
        <v>20503</v>
      </c>
      <c r="H363" s="47">
        <f t="shared" si="22"/>
        <v>1305</v>
      </c>
      <c r="I363" s="47">
        <f t="shared" si="22"/>
        <v>91957</v>
      </c>
      <c r="J363" s="47">
        <f t="shared" si="22"/>
        <v>396</v>
      </c>
      <c r="K363" s="47">
        <f t="shared" si="22"/>
        <v>0</v>
      </c>
      <c r="L363" s="47">
        <f t="shared" si="22"/>
        <v>180321</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65965+15667</f>
        <v>81632</v>
      </c>
      <c r="G368" s="18"/>
      <c r="H368" s="18"/>
      <c r="I368" s="56">
        <f>SUM(F368:H368)</f>
        <v>81632</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8646+1679</f>
        <v>10325</v>
      </c>
      <c r="G369" s="63"/>
      <c r="H369" s="63"/>
      <c r="I369" s="56">
        <f>SUM(F369:H369)</f>
        <v>10325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91957</v>
      </c>
      <c r="G370" s="47">
        <f>SUM(G368:G369)</f>
        <v>0</v>
      </c>
      <c r="H370" s="47">
        <f>SUM(H368:H369)</f>
        <v>0</v>
      </c>
      <c r="I370" s="47">
        <f>SUM(I368:I369)</f>
        <v>91957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v>517924</v>
      </c>
      <c r="I380" s="18"/>
      <c r="J380" s="18"/>
      <c r="K380" s="18"/>
      <c r="L380" s="13">
        <f t="shared" si="23"/>
        <v>517924</v>
      </c>
      <c r="M380" s="8"/>
      <c r="N380" s="264"/>
    </row>
    <row r="381" spans="1:14" s="3" customFormat="1" ht="12.2" customHeight="1" x14ac:dyDescent="0.15">
      <c r="A381" s="1" t="s">
        <v>510</v>
      </c>
      <c r="B381" s="2" t="s">
        <v>366</v>
      </c>
      <c r="C381" s="2" t="s">
        <v>347</v>
      </c>
      <c r="D381" s="2" t="s">
        <v>431</v>
      </c>
      <c r="E381" s="6">
        <v>4900</v>
      </c>
      <c r="F381" s="18"/>
      <c r="G381" s="18"/>
      <c r="H381" s="18">
        <f>5220</f>
        <v>5220</v>
      </c>
      <c r="I381" s="18">
        <v>14531</v>
      </c>
      <c r="J381" s="18">
        <v>1680</v>
      </c>
      <c r="K381" s="18"/>
      <c r="L381" s="13">
        <f t="shared" si="23"/>
        <v>21431</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523144</v>
      </c>
      <c r="I383" s="41">
        <f t="shared" si="24"/>
        <v>14531</v>
      </c>
      <c r="J383" s="47">
        <f t="shared" si="24"/>
        <v>1680</v>
      </c>
      <c r="K383" s="47">
        <f t="shared" si="24"/>
        <v>0</v>
      </c>
      <c r="L383" s="47">
        <f t="shared" si="24"/>
        <v>539355</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v>243.52</v>
      </c>
      <c r="I389" s="18"/>
      <c r="J389" s="24" t="s">
        <v>288</v>
      </c>
      <c r="K389" s="24" t="s">
        <v>288</v>
      </c>
      <c r="L389" s="56">
        <f t="shared" si="25"/>
        <v>243.52</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243.52</v>
      </c>
      <c r="I394" s="65">
        <f>SUM(I388:I393)</f>
        <v>0</v>
      </c>
      <c r="J394" s="45" t="s">
        <v>288</v>
      </c>
      <c r="K394" s="45" t="s">
        <v>288</v>
      </c>
      <c r="L394" s="47">
        <f>SUM(L388:L393)</f>
        <v>243.52</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v>246.62</v>
      </c>
      <c r="I398" s="18"/>
      <c r="J398" s="24" t="s">
        <v>288</v>
      </c>
      <c r="K398" s="24" t="s">
        <v>288</v>
      </c>
      <c r="L398" s="56">
        <f t="shared" si="26"/>
        <v>246.62</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246.62</v>
      </c>
      <c r="I402" s="47">
        <f>SUM(I396:I401)</f>
        <v>0</v>
      </c>
      <c r="J402" s="45" t="s">
        <v>288</v>
      </c>
      <c r="K402" s="45" t="s">
        <v>288</v>
      </c>
      <c r="L402" s="47">
        <f>SUM(L396:L401)</f>
        <v>246.62</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490.14</v>
      </c>
      <c r="I409" s="47">
        <f>I394+I402+I408</f>
        <v>0</v>
      </c>
      <c r="J409" s="24" t="s">
        <v>288</v>
      </c>
      <c r="K409" s="24" t="s">
        <v>288</v>
      </c>
      <c r="L409" s="47">
        <f>L394+L402+L408</f>
        <v>490.14</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v>307101</v>
      </c>
      <c r="H442" s="18"/>
      <c r="I442" s="56">
        <f t="shared" si="33"/>
        <v>307101</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307101</v>
      </c>
      <c r="H447" s="13">
        <f>SUM(H440:H446)</f>
        <v>0</v>
      </c>
      <c r="I447" s="13">
        <f>SUM(I440:I446)</f>
        <v>307101</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307101</v>
      </c>
      <c r="H460" s="18"/>
      <c r="I460" s="56">
        <f t="shared" si="34"/>
        <v>307101</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307101</v>
      </c>
      <c r="H461" s="83">
        <f>SUM(H455:H460)</f>
        <v>0</v>
      </c>
      <c r="I461" s="83">
        <f>SUM(I455:I460)</f>
        <v>307101</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307101</v>
      </c>
      <c r="H462" s="42">
        <f>H453+H461</f>
        <v>0</v>
      </c>
      <c r="I462" s="42">
        <f>I453+I461</f>
        <v>307101</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1435315</v>
      </c>
      <c r="G466" s="18">
        <v>0</v>
      </c>
      <c r="H466" s="18">
        <v>19634</v>
      </c>
      <c r="I466" s="18">
        <v>693083</v>
      </c>
      <c r="J466" s="18">
        <v>306610.86</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15120757</v>
      </c>
      <c r="G469" s="18">
        <v>215796</v>
      </c>
      <c r="H469" s="18">
        <v>379473</v>
      </c>
      <c r="I469" s="18">
        <v>588</v>
      </c>
      <c r="J469" s="18">
        <v>490.14</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15120757</v>
      </c>
      <c r="G471" s="53">
        <f>SUM(G469:G470)</f>
        <v>215796</v>
      </c>
      <c r="H471" s="53">
        <f>SUM(H469:H470)</f>
        <v>379473</v>
      </c>
      <c r="I471" s="53">
        <f>SUM(I469:I470)</f>
        <v>588</v>
      </c>
      <c r="J471" s="53">
        <f>SUM(J469:J470)</f>
        <v>490.14</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14674234</v>
      </c>
      <c r="G473" s="18">
        <v>180321</v>
      </c>
      <c r="H473" s="18">
        <v>371193</v>
      </c>
      <c r="I473" s="18">
        <v>539355</v>
      </c>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v>1</v>
      </c>
      <c r="J474" s="18"/>
      <c r="K474" s="24" t="s">
        <v>288</v>
      </c>
      <c r="L474" s="24" t="s">
        <v>288</v>
      </c>
      <c r="N474" s="263"/>
    </row>
    <row r="475" spans="1:14" s="52" customFormat="1" ht="12.2" customHeight="1" x14ac:dyDescent="0.2">
      <c r="A475" s="92" t="s">
        <v>426</v>
      </c>
      <c r="B475" s="75">
        <v>19</v>
      </c>
      <c r="C475" s="80">
        <v>7</v>
      </c>
      <c r="D475" s="2" t="s">
        <v>432</v>
      </c>
      <c r="E475" s="80"/>
      <c r="F475" s="53">
        <f>SUM(F473:F474)</f>
        <v>14674234</v>
      </c>
      <c r="G475" s="53">
        <f>SUM(G473:G474)</f>
        <v>180321</v>
      </c>
      <c r="H475" s="53">
        <f>SUM(H473:H474)</f>
        <v>371193</v>
      </c>
      <c r="I475" s="53">
        <f>SUM(I473:I474)</f>
        <v>539356</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1881838</v>
      </c>
      <c r="G477" s="53">
        <f>(G466+G471)- G475</f>
        <v>35475</v>
      </c>
      <c r="H477" s="53">
        <f>(H466+H471)- H475</f>
        <v>27914</v>
      </c>
      <c r="I477" s="53">
        <f>(I466+I471)- I475</f>
        <v>154315</v>
      </c>
      <c r="J477" s="53">
        <f>(J466+J471)- J475</f>
        <v>307101</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t="s">
        <v>1673</v>
      </c>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15</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1674</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1675</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14300000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11895000</v>
      </c>
      <c r="G496" s="18"/>
      <c r="H496" s="18"/>
      <c r="I496" s="18"/>
      <c r="J496" s="18"/>
      <c r="K496" s="53">
        <f>SUM(F496:J496)</f>
        <v>11895000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v>11895000</v>
      </c>
      <c r="G499" s="204"/>
      <c r="H499" s="204"/>
      <c r="I499" s="204"/>
      <c r="J499" s="204"/>
      <c r="K499" s="205">
        <f t="shared" si="35"/>
        <v>11895000</v>
      </c>
      <c r="L499" s="206" t="s">
        <v>288</v>
      </c>
      <c r="N499" s="263"/>
    </row>
    <row r="500" spans="1:14" s="52" customFormat="1" ht="12.2" customHeight="1" thickBot="1" x14ac:dyDescent="0.25">
      <c r="A500" s="22" t="s">
        <v>623</v>
      </c>
      <c r="B500" s="75">
        <v>20</v>
      </c>
      <c r="C500" s="115">
        <v>10</v>
      </c>
      <c r="D500" s="2" t="s">
        <v>432</v>
      </c>
      <c r="E500" s="115"/>
      <c r="F500" s="18">
        <v>3393256.25</v>
      </c>
      <c r="G500" s="18"/>
      <c r="H500" s="18"/>
      <c r="I500" s="18"/>
      <c r="J500" s="18"/>
      <c r="K500" s="53">
        <f t="shared" si="35"/>
        <v>3393256.25</v>
      </c>
      <c r="L500" s="24" t="s">
        <v>288</v>
      </c>
      <c r="N500" s="263"/>
    </row>
    <row r="501" spans="1:14" s="52" customFormat="1" ht="12.2" customHeight="1" thickTop="1" x14ac:dyDescent="0.2">
      <c r="A501" s="139" t="s">
        <v>624</v>
      </c>
      <c r="B501" s="44">
        <v>20</v>
      </c>
      <c r="C501" s="195">
        <v>11</v>
      </c>
      <c r="D501" s="39" t="s">
        <v>432</v>
      </c>
      <c r="E501" s="195"/>
      <c r="F501" s="42">
        <f>SUM(F499:F500)</f>
        <v>15288256.25</v>
      </c>
      <c r="G501" s="42">
        <f>SUM(G499:G500)</f>
        <v>0</v>
      </c>
      <c r="H501" s="42">
        <f>SUM(H499:H500)</f>
        <v>0</v>
      </c>
      <c r="I501" s="42">
        <f>SUM(I499:I500)</f>
        <v>0</v>
      </c>
      <c r="J501" s="42">
        <f>SUM(J499:J500)</f>
        <v>0</v>
      </c>
      <c r="K501" s="42">
        <f t="shared" si="35"/>
        <v>15288256.25</v>
      </c>
      <c r="L501" s="45" t="s">
        <v>288</v>
      </c>
      <c r="N501" s="263"/>
    </row>
    <row r="502" spans="1:14" s="52" customFormat="1" ht="12.2" customHeight="1" x14ac:dyDescent="0.2">
      <c r="A502" s="200" t="s">
        <v>651</v>
      </c>
      <c r="B502" s="201">
        <v>20</v>
      </c>
      <c r="C502" s="202">
        <v>12</v>
      </c>
      <c r="D502" s="203" t="s">
        <v>432</v>
      </c>
      <c r="E502" s="202"/>
      <c r="F502" s="204">
        <v>670000</v>
      </c>
      <c r="G502" s="204"/>
      <c r="H502" s="204"/>
      <c r="I502" s="204"/>
      <c r="J502" s="204"/>
      <c r="K502" s="205">
        <f t="shared" si="35"/>
        <v>670000</v>
      </c>
      <c r="L502" s="206" t="s">
        <v>288</v>
      </c>
      <c r="N502" s="263"/>
    </row>
    <row r="503" spans="1:14" s="52" customFormat="1" ht="12.2" customHeight="1" thickBot="1" x14ac:dyDescent="0.25">
      <c r="A503" s="22" t="s">
        <v>625</v>
      </c>
      <c r="B503" s="75">
        <v>20</v>
      </c>
      <c r="C503" s="115">
        <v>13</v>
      </c>
      <c r="D503" s="2" t="s">
        <v>432</v>
      </c>
      <c r="E503" s="115"/>
      <c r="F503" s="18">
        <v>504147.5</v>
      </c>
      <c r="G503" s="18"/>
      <c r="H503" s="18"/>
      <c r="I503" s="18"/>
      <c r="J503" s="18"/>
      <c r="K503" s="53">
        <f t="shared" si="35"/>
        <v>504147.5</v>
      </c>
      <c r="L503" s="24" t="s">
        <v>288</v>
      </c>
      <c r="N503" s="263"/>
    </row>
    <row r="504" spans="1:14" s="52" customFormat="1" ht="12.2" customHeight="1" thickTop="1" x14ac:dyDescent="0.2">
      <c r="A504" s="139" t="s">
        <v>626</v>
      </c>
      <c r="B504" s="44">
        <v>20</v>
      </c>
      <c r="C504" s="195">
        <v>14</v>
      </c>
      <c r="D504" s="39" t="s">
        <v>432</v>
      </c>
      <c r="E504" s="195"/>
      <c r="F504" s="42">
        <f>SUM(F502:F503)</f>
        <v>1174147.5</v>
      </c>
      <c r="G504" s="42">
        <f>SUM(G502:G503)</f>
        <v>0</v>
      </c>
      <c r="H504" s="42">
        <f>SUM(H502:H503)</f>
        <v>0</v>
      </c>
      <c r="I504" s="42">
        <f>SUM(I502:I503)</f>
        <v>0</v>
      </c>
      <c r="J504" s="42">
        <f>SUM(J502:J503)</f>
        <v>0</v>
      </c>
      <c r="K504" s="42">
        <f t="shared" si="35"/>
        <v>1174147.5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589778-116601+43041</f>
        <v>516218</v>
      </c>
      <c r="G522" s="18">
        <f>239728-38856.94+10727</f>
        <v>211598.06</v>
      </c>
      <c r="H522" s="18">
        <f>83796+9520</f>
        <v>93316</v>
      </c>
      <c r="I522" s="18">
        <f>6449+42544</f>
        <v>48993</v>
      </c>
      <c r="J522" s="18">
        <v>4828</v>
      </c>
      <c r="K522" s="18"/>
      <c r="L522" s="88">
        <f>SUM(F522:K522)</f>
        <v>874953.06</v>
      </c>
      <c r="N522" s="263"/>
    </row>
    <row r="523" spans="1:14" s="52" customFormat="1" ht="12.2" customHeight="1" x14ac:dyDescent="0.2">
      <c r="A523" s="22" t="s">
        <v>634</v>
      </c>
      <c r="B523" s="105">
        <v>21</v>
      </c>
      <c r="C523" s="115">
        <v>2</v>
      </c>
      <c r="D523" s="2" t="s">
        <v>432</v>
      </c>
      <c r="E523" s="115"/>
      <c r="F523" s="18"/>
      <c r="G523" s="18"/>
      <c r="H523" s="18">
        <v>236427</v>
      </c>
      <c r="I523" s="18"/>
      <c r="J523" s="18"/>
      <c r="K523" s="18"/>
      <c r="L523" s="88">
        <f>SUM(F523:K523)</f>
        <v>236427</v>
      </c>
      <c r="N523" s="263"/>
    </row>
    <row r="524" spans="1:14" s="52" customFormat="1" ht="12.2" customHeight="1" thickBot="1" x14ac:dyDescent="0.25">
      <c r="A524" s="22" t="s">
        <v>635</v>
      </c>
      <c r="B524" s="105">
        <v>21</v>
      </c>
      <c r="C524" s="115">
        <v>3</v>
      </c>
      <c r="D524" s="2" t="s">
        <v>432</v>
      </c>
      <c r="E524" s="115"/>
      <c r="F524" s="18"/>
      <c r="G524" s="18"/>
      <c r="H524" s="18">
        <f>1348552+83335.53</f>
        <v>1431887.53</v>
      </c>
      <c r="I524" s="18"/>
      <c r="J524" s="18"/>
      <c r="K524" s="18"/>
      <c r="L524" s="88">
        <f>SUM(F524:K524)</f>
        <v>1431887.53</v>
      </c>
      <c r="N524" s="263"/>
    </row>
    <row r="525" spans="1:14" s="52" customFormat="1" ht="12.2" customHeight="1" thickTop="1" x14ac:dyDescent="0.2">
      <c r="A525" s="139" t="s">
        <v>63</v>
      </c>
      <c r="B525" s="107">
        <v>21</v>
      </c>
      <c r="C525" s="195">
        <v>4</v>
      </c>
      <c r="D525" s="196" t="s">
        <v>432</v>
      </c>
      <c r="E525" s="195"/>
      <c r="F525" s="108">
        <f>SUM(F522:F524)</f>
        <v>516218</v>
      </c>
      <c r="G525" s="108">
        <f t="shared" ref="G525:L525" si="36">SUM(G522:G524)</f>
        <v>211598.06</v>
      </c>
      <c r="H525" s="108">
        <f t="shared" si="36"/>
        <v>1761630.53</v>
      </c>
      <c r="I525" s="108">
        <f t="shared" si="36"/>
        <v>48993</v>
      </c>
      <c r="J525" s="108">
        <f t="shared" si="36"/>
        <v>4828</v>
      </c>
      <c r="K525" s="108">
        <f t="shared" si="36"/>
        <v>0</v>
      </c>
      <c r="L525" s="89">
        <f t="shared" si="36"/>
        <v>2543267.59</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414876+19681-156864</f>
        <v>277693</v>
      </c>
      <c r="G527" s="18">
        <f>194227+1506-98791.32</f>
        <v>96941.68</v>
      </c>
      <c r="H527" s="18">
        <f>36438+5000-1600</f>
        <v>39838</v>
      </c>
      <c r="I527" s="18">
        <f>8391+292-3218.46</f>
        <v>5464.54</v>
      </c>
      <c r="J527" s="18"/>
      <c r="K527" s="18"/>
      <c r="L527" s="88">
        <f>SUM(F527:K527)</f>
        <v>419937.22</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v>24915</v>
      </c>
      <c r="I529" s="18"/>
      <c r="J529" s="18"/>
      <c r="K529" s="18"/>
      <c r="L529" s="88">
        <f>SUM(F529:K529)</f>
        <v>24915</v>
      </c>
      <c r="M529" s="8"/>
      <c r="N529" s="264"/>
    </row>
    <row r="530" spans="1:14" s="3" customFormat="1" ht="12.2" customHeight="1" thickTop="1" x14ac:dyDescent="0.15">
      <c r="A530" s="139" t="s">
        <v>65</v>
      </c>
      <c r="B530" s="107">
        <v>21</v>
      </c>
      <c r="C530" s="107">
        <v>8</v>
      </c>
      <c r="D530" s="158" t="s">
        <v>432</v>
      </c>
      <c r="E530" s="107"/>
      <c r="F530" s="89">
        <f>SUM(F527:F529)</f>
        <v>277693</v>
      </c>
      <c r="G530" s="89">
        <f t="shared" ref="G530:L530" si="37">SUM(G527:G529)</f>
        <v>96941.68</v>
      </c>
      <c r="H530" s="89">
        <f t="shared" si="37"/>
        <v>64753</v>
      </c>
      <c r="I530" s="89">
        <f t="shared" si="37"/>
        <v>5464.54</v>
      </c>
      <c r="J530" s="89">
        <f t="shared" si="37"/>
        <v>0</v>
      </c>
      <c r="K530" s="89">
        <f t="shared" si="37"/>
        <v>0</v>
      </c>
      <c r="L530" s="89">
        <f t="shared" si="37"/>
        <v>444852.22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88535+28066</f>
        <v>116601</v>
      </c>
      <c r="G532" s="18">
        <f>15759.23+3090+8919.97+10589.22+498.52</f>
        <v>38856.939999999995</v>
      </c>
      <c r="H532" s="18"/>
      <c r="I532" s="18"/>
      <c r="J532" s="18"/>
      <c r="K532" s="18">
        <v>805</v>
      </c>
      <c r="L532" s="88">
        <f>SUM(F532:K532)</f>
        <v>156262.94</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116601</v>
      </c>
      <c r="G535" s="89">
        <f t="shared" ref="G535:L535" si="38">SUM(G532:G534)</f>
        <v>38856.939999999995</v>
      </c>
      <c r="H535" s="89">
        <f t="shared" si="38"/>
        <v>0</v>
      </c>
      <c r="I535" s="89">
        <f t="shared" si="38"/>
        <v>0</v>
      </c>
      <c r="J535" s="89">
        <f t="shared" si="38"/>
        <v>0</v>
      </c>
      <c r="K535" s="89">
        <f t="shared" si="38"/>
        <v>805</v>
      </c>
      <c r="L535" s="89">
        <f t="shared" si="38"/>
        <v>156262.94</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166670.67000000001</v>
      </c>
      <c r="I542" s="18"/>
      <c r="J542" s="18"/>
      <c r="K542" s="18"/>
      <c r="L542" s="88">
        <f>SUM(F542:K542)</f>
        <v>166670.67000000001</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83335.33</v>
      </c>
      <c r="I544" s="18"/>
      <c r="J544" s="18"/>
      <c r="K544" s="18"/>
      <c r="L544" s="88">
        <f>SUM(F544:K544)</f>
        <v>83335.33</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250006</v>
      </c>
      <c r="I545" s="193">
        <f t="shared" si="40"/>
        <v>0</v>
      </c>
      <c r="J545" s="193">
        <f t="shared" si="40"/>
        <v>0</v>
      </c>
      <c r="K545" s="193">
        <f t="shared" si="40"/>
        <v>0</v>
      </c>
      <c r="L545" s="193">
        <f t="shared" si="40"/>
        <v>250006</v>
      </c>
      <c r="M545" s="8"/>
      <c r="N545" s="264"/>
    </row>
    <row r="546" spans="1:14" s="3" customFormat="1" ht="12.2" customHeight="1" thickTop="1" x14ac:dyDescent="0.15">
      <c r="A546" s="98" t="s">
        <v>72</v>
      </c>
      <c r="B546" s="107">
        <v>21</v>
      </c>
      <c r="C546" s="107">
        <v>21</v>
      </c>
      <c r="D546" s="158" t="s">
        <v>432</v>
      </c>
      <c r="E546" s="107"/>
      <c r="F546" s="89">
        <f>F525+F530+F535+F540+F545</f>
        <v>910512</v>
      </c>
      <c r="G546" s="89">
        <f t="shared" ref="G546:L546" si="41">G525+G530+G535+G540+G545</f>
        <v>347396.68</v>
      </c>
      <c r="H546" s="89">
        <f t="shared" si="41"/>
        <v>2076389.53</v>
      </c>
      <c r="I546" s="89">
        <f t="shared" si="41"/>
        <v>54457.54</v>
      </c>
      <c r="J546" s="89">
        <f t="shared" si="41"/>
        <v>4828</v>
      </c>
      <c r="K546" s="89">
        <f t="shared" si="41"/>
        <v>805</v>
      </c>
      <c r="L546" s="89">
        <f t="shared" si="41"/>
        <v>3394388.7499999995</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874953.06</v>
      </c>
      <c r="G550" s="87">
        <f>L527</f>
        <v>419937.22</v>
      </c>
      <c r="H550" s="87">
        <f>L532</f>
        <v>156262.94</v>
      </c>
      <c r="I550" s="87">
        <f>L537</f>
        <v>0</v>
      </c>
      <c r="J550" s="87">
        <f>L542</f>
        <v>166670.67000000001</v>
      </c>
      <c r="K550" s="87">
        <f>SUM(F550:J550)</f>
        <v>1617823.89</v>
      </c>
      <c r="L550" s="24" t="s">
        <v>288</v>
      </c>
      <c r="M550" s="8"/>
      <c r="N550" s="264"/>
    </row>
    <row r="551" spans="1:14" s="3" customFormat="1" ht="12.2" customHeight="1" x14ac:dyDescent="0.15">
      <c r="A551" s="22" t="s">
        <v>634</v>
      </c>
      <c r="B551" s="75">
        <v>21</v>
      </c>
      <c r="C551" s="75">
        <v>23</v>
      </c>
      <c r="D551" s="2" t="s">
        <v>432</v>
      </c>
      <c r="E551" s="75"/>
      <c r="F551" s="87">
        <f>L523</f>
        <v>236427</v>
      </c>
      <c r="G551" s="87">
        <f>L528</f>
        <v>0</v>
      </c>
      <c r="H551" s="87">
        <f>L533</f>
        <v>0</v>
      </c>
      <c r="I551" s="87">
        <f>L538</f>
        <v>0</v>
      </c>
      <c r="J551" s="87">
        <f>L543</f>
        <v>0</v>
      </c>
      <c r="K551" s="87">
        <f>SUM(F551:J551)</f>
        <v>236427</v>
      </c>
      <c r="L551" s="24" t="s">
        <v>288</v>
      </c>
      <c r="M551" s="8"/>
      <c r="N551" s="264"/>
    </row>
    <row r="552" spans="1:14" s="3" customFormat="1" ht="12.2" customHeight="1" thickBot="1" x14ac:dyDescent="0.2">
      <c r="A552" s="22" t="s">
        <v>635</v>
      </c>
      <c r="B552" s="75">
        <v>21</v>
      </c>
      <c r="C552" s="75">
        <v>24</v>
      </c>
      <c r="D552" s="2" t="s">
        <v>432</v>
      </c>
      <c r="E552" s="75"/>
      <c r="F552" s="87">
        <f>L524</f>
        <v>1431887.53</v>
      </c>
      <c r="G552" s="87">
        <f>L529</f>
        <v>24915</v>
      </c>
      <c r="H552" s="87">
        <f>L534</f>
        <v>0</v>
      </c>
      <c r="I552" s="87">
        <f>L539</f>
        <v>0</v>
      </c>
      <c r="J552" s="87">
        <f>L544</f>
        <v>83335.33</v>
      </c>
      <c r="K552" s="87">
        <f>SUM(F552:J552)</f>
        <v>1540137.86</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2543267.59</v>
      </c>
      <c r="G553" s="89">
        <f t="shared" si="42"/>
        <v>444852.22</v>
      </c>
      <c r="H553" s="89">
        <f t="shared" si="42"/>
        <v>156262.94</v>
      </c>
      <c r="I553" s="89">
        <f t="shared" si="42"/>
        <v>0</v>
      </c>
      <c r="J553" s="89">
        <f t="shared" si="42"/>
        <v>250006</v>
      </c>
      <c r="K553" s="89">
        <f t="shared" si="42"/>
        <v>3394388.75</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18579</v>
      </c>
      <c r="G563" s="18">
        <f>1421+19+31</f>
        <v>1471</v>
      </c>
      <c r="H563" s="18"/>
      <c r="I563" s="18"/>
      <c r="J563" s="18"/>
      <c r="K563" s="18"/>
      <c r="L563" s="88">
        <f>SUM(F563:K563)</f>
        <v>20050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18579</v>
      </c>
      <c r="G566" s="89">
        <f t="shared" si="44"/>
        <v>1471</v>
      </c>
      <c r="H566" s="89">
        <f t="shared" si="44"/>
        <v>0</v>
      </c>
      <c r="I566" s="89">
        <f t="shared" si="44"/>
        <v>0</v>
      </c>
      <c r="J566" s="89">
        <f t="shared" si="44"/>
        <v>0</v>
      </c>
      <c r="K566" s="89">
        <f t="shared" si="44"/>
        <v>0</v>
      </c>
      <c r="L566" s="89">
        <f t="shared" si="44"/>
        <v>20050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v>9427</v>
      </c>
      <c r="I568" s="18"/>
      <c r="J568" s="18"/>
      <c r="K568" s="18"/>
      <c r="L568" s="88">
        <f>SUM(F568:K568)</f>
        <v>9427</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9427</v>
      </c>
      <c r="I571" s="193">
        <f t="shared" si="45"/>
        <v>0</v>
      </c>
      <c r="J571" s="193">
        <f t="shared" si="45"/>
        <v>0</v>
      </c>
      <c r="K571" s="193">
        <f t="shared" si="45"/>
        <v>0</v>
      </c>
      <c r="L571" s="193">
        <f t="shared" si="45"/>
        <v>9427</v>
      </c>
      <c r="M571" s="8"/>
      <c r="N571" s="264"/>
    </row>
    <row r="572" spans="1:14" s="3" customFormat="1" ht="12.2" customHeight="1" thickTop="1" x14ac:dyDescent="0.15">
      <c r="A572" s="98" t="s">
        <v>88</v>
      </c>
      <c r="B572" s="107">
        <v>22</v>
      </c>
      <c r="C572" s="107">
        <v>13</v>
      </c>
      <c r="D572" s="158" t="s">
        <v>432</v>
      </c>
      <c r="E572" s="107"/>
      <c r="F572" s="89">
        <f>F561+F566+F571</f>
        <v>18579</v>
      </c>
      <c r="G572" s="89">
        <f t="shared" ref="G572:L572" si="46">G561+G566+G571</f>
        <v>1471</v>
      </c>
      <c r="H572" s="89">
        <f t="shared" si="46"/>
        <v>9427</v>
      </c>
      <c r="I572" s="89">
        <f t="shared" si="46"/>
        <v>0</v>
      </c>
      <c r="J572" s="89">
        <f t="shared" si="46"/>
        <v>0</v>
      </c>
      <c r="K572" s="89">
        <f t="shared" si="46"/>
        <v>0</v>
      </c>
      <c r="L572" s="89">
        <f t="shared" si="46"/>
        <v>29477</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24000</v>
      </c>
      <c r="I576" s="87">
        <f>SUM(F576:H576)</f>
        <v>24000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3378153</v>
      </c>
      <c r="I578" s="87">
        <f t="shared" si="47"/>
        <v>3378153</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832888</v>
      </c>
      <c r="I582" s="87">
        <f t="shared" si="47"/>
        <v>832888</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f>176990+7532</f>
        <v>184522</v>
      </c>
      <c r="H583" s="18">
        <f>461694+7315</f>
        <v>469009</v>
      </c>
      <c r="I583" s="87">
        <f t="shared" si="47"/>
        <v>653531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350292.66</v>
      </c>
      <c r="I592" s="18"/>
      <c r="J592" s="18">
        <v>175146.34</v>
      </c>
      <c r="K592" s="104">
        <f t="shared" ref="K592:K598" si="48">SUM(H592:J592)</f>
        <v>525439</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166670.67000000001</v>
      </c>
      <c r="I593" s="18"/>
      <c r="J593" s="18">
        <v>83335.33</v>
      </c>
      <c r="K593" s="104">
        <f t="shared" si="48"/>
        <v>250006</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5008</v>
      </c>
      <c r="I595" s="18"/>
      <c r="J595" s="18"/>
      <c r="K595" s="104">
        <f t="shared" si="48"/>
        <v>5008</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521971.32999999996</v>
      </c>
      <c r="I599" s="108">
        <f>SUM(I592:I598)</f>
        <v>0</v>
      </c>
      <c r="J599" s="108">
        <f>SUM(J592:J598)</f>
        <v>258481.66999999998</v>
      </c>
      <c r="K599" s="108">
        <f>SUM(K592:K598)</f>
        <v>780453</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246324</v>
      </c>
      <c r="I605" s="18"/>
      <c r="J605" s="18"/>
      <c r="K605" s="104">
        <f>SUM(H605:J605)</f>
        <v>246324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246324</v>
      </c>
      <c r="I606" s="108">
        <f>SUM(I603:I605)</f>
        <v>0</v>
      </c>
      <c r="J606" s="108">
        <f>SUM(J603:J605)</f>
        <v>0</v>
      </c>
      <c r="K606" s="108">
        <f>SUM(K603:K605)</f>
        <v>246324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2142284</v>
      </c>
      <c r="H618" s="109">
        <f>SUM(F52)</f>
        <v>2142284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47616</v>
      </c>
      <c r="H619" s="109">
        <f>SUM(G52)</f>
        <v>47616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99271</v>
      </c>
      <c r="H620" s="109">
        <f>SUM(H52)</f>
        <v>99271</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154315</v>
      </c>
      <c r="H621" s="109">
        <f>SUM(I52)</f>
        <v>154315</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307101</v>
      </c>
      <c r="H622" s="109">
        <f>SUM(J52)</f>
        <v>307101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1881838</v>
      </c>
      <c r="H623" s="109">
        <f>F477</f>
        <v>1881838</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35475</v>
      </c>
      <c r="H624" s="109">
        <f>G477</f>
        <v>35475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27914</v>
      </c>
      <c r="H625" s="109">
        <f>H477</f>
        <v>27914</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154315</v>
      </c>
      <c r="H626" s="109">
        <f>I477</f>
        <v>154315</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307101</v>
      </c>
      <c r="H627" s="109">
        <f>J477</f>
        <v>307101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15120757</v>
      </c>
      <c r="H628" s="104">
        <f>SUM(F469)</f>
        <v>15120757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215796</v>
      </c>
      <c r="H629" s="104">
        <f>SUM(G469)</f>
        <v>215796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379473</v>
      </c>
      <c r="H630" s="104">
        <f>SUM(H469)</f>
        <v>379473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588</v>
      </c>
      <c r="H631" s="104">
        <f>SUM(I469)</f>
        <v>588</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490.14</v>
      </c>
      <c r="H632" s="104">
        <f>SUM(J469)</f>
        <v>490.14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14674234</v>
      </c>
      <c r="H633" s="104">
        <f>SUM(F473)</f>
        <v>14674234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371193</v>
      </c>
      <c r="H634" s="104">
        <f>SUM(H473)</f>
        <v>371193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91957</v>
      </c>
      <c r="H635" s="104">
        <f>I370</f>
        <v>91957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180321</v>
      </c>
      <c r="H636" s="104">
        <f>SUM(G473)</f>
        <v>180321</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539355</v>
      </c>
      <c r="H637" s="104">
        <f>SUM(I473)</f>
        <v>539355</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490.14</v>
      </c>
      <c r="H638" s="164">
        <f>SUM(J469)</f>
        <v>490.14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307101</v>
      </c>
      <c r="H641" s="104">
        <f>SUM(G462)</f>
        <v>307101</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307101</v>
      </c>
      <c r="H643" s="104">
        <f>SUM(I462)</f>
        <v>307101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490.14</v>
      </c>
      <c r="H645" s="104">
        <f>H409</f>
        <v>490.14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490.14</v>
      </c>
      <c r="H647" s="104">
        <f>L409</f>
        <v>490.14</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780453</v>
      </c>
      <c r="H648" s="104">
        <f>L209+L227+L245</f>
        <v>780453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246324</v>
      </c>
      <c r="H649" s="104">
        <f>(J258+J339)-(J256+J337)</f>
        <v>246324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521971.33</v>
      </c>
      <c r="H650" s="104">
        <f>H599</f>
        <v>521971.32999999996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258481.67</v>
      </c>
      <c r="H652" s="104">
        <f>J599</f>
        <v>258481.66999999998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8777666.3300000001</v>
      </c>
      <c r="G661" s="19">
        <f>(L230+L310+L360)</f>
        <v>236427</v>
      </c>
      <c r="H661" s="19">
        <f>(L248+L329+L361)</f>
        <v>5034101.67</v>
      </c>
      <c r="I661" s="19">
        <f>SUM(F661:H661)</f>
        <v>14048195</v>
      </c>
      <c r="J661" s="13"/>
      <c r="K661" s="13"/>
      <c r="L661" s="13"/>
      <c r="M661" s="9"/>
    </row>
    <row r="662" spans="1:13" s="3" customFormat="1" ht="12.2" customHeight="1" x14ac:dyDescent="0.2">
      <c r="A662" s="1" t="s">
        <v>127</v>
      </c>
      <c r="F662" s="19">
        <f>(L359/IF(SUM(L359:L361)=0,1,SUM(L359:L361))*(SUM(G97:G110)))</f>
        <v>15248</v>
      </c>
      <c r="G662" s="19">
        <f>(L360/IF(SUM(L359:L361)=0,1,SUM(L359:L361))*(SUM(G97:G110)))</f>
        <v>0</v>
      </c>
      <c r="H662" s="19">
        <f>(L361/IF(SUM(L359:L361)=0,1,SUM(L359:L361))*(SUM(G97:G110)))</f>
        <v>0</v>
      </c>
      <c r="I662" s="19">
        <f>SUM(F662:H662)</f>
        <v>15248</v>
      </c>
      <c r="J662"/>
      <c r="K662" s="13"/>
      <c r="L662" s="13"/>
      <c r="M662" s="8"/>
    </row>
    <row r="663" spans="1:13" s="3" customFormat="1" ht="12.2" customHeight="1" x14ac:dyDescent="0.2">
      <c r="A663" s="1" t="s">
        <v>128</v>
      </c>
      <c r="F663" s="19">
        <f>(L209+L288)-(J209+J288)</f>
        <v>521971.33</v>
      </c>
      <c r="G663" s="19">
        <f>(L227+L307)-(J227+J307)</f>
        <v>0</v>
      </c>
      <c r="H663" s="19">
        <f>(L245+L326)-(J245+J326)</f>
        <v>258481.67</v>
      </c>
      <c r="I663" s="19">
        <f>SUM(F663:H663)</f>
        <v>780453</v>
      </c>
      <c r="J663"/>
      <c r="K663" s="13"/>
      <c r="L663" s="13"/>
      <c r="M663" s="9"/>
    </row>
    <row r="664" spans="1:13" s="3" customFormat="1" ht="12.2" customHeight="1" x14ac:dyDescent="0.15">
      <c r="A664" s="198" t="s">
        <v>129</v>
      </c>
      <c r="B664" s="169"/>
      <c r="C664" s="169"/>
      <c r="D664" s="169"/>
      <c r="E664" s="169"/>
      <c r="F664" s="199">
        <f>SUM(F576:F588)+SUM(H603:H605)+SUM(L612)</f>
        <v>246324</v>
      </c>
      <c r="G664" s="199">
        <f>SUM(G576:G588)+SUM(I603:I605)+L613</f>
        <v>184522</v>
      </c>
      <c r="H664" s="199">
        <f>SUM(H576:H588)+SUM(J603:J605)+L614</f>
        <v>4704050</v>
      </c>
      <c r="I664" s="19">
        <f>SUM(F664:H664)</f>
        <v>5134896</v>
      </c>
      <c r="J664" s="13"/>
      <c r="K664" s="13"/>
      <c r="L664" s="13"/>
      <c r="M664" s="9"/>
    </row>
    <row r="665" spans="1:13" s="3" customFormat="1" ht="12.2" customHeight="1" x14ac:dyDescent="0.15">
      <c r="A665" s="1" t="s">
        <v>130</v>
      </c>
      <c r="F665" s="19">
        <f>F661-SUM(F662:F664)</f>
        <v>7994123</v>
      </c>
      <c r="G665" s="19">
        <f>G661-SUM(G662:G664)</f>
        <v>51905</v>
      </c>
      <c r="H665" s="19">
        <f>H661-SUM(H662:H664)</f>
        <v>71570</v>
      </c>
      <c r="I665" s="19">
        <f>I661-SUM(I662:I664)</f>
        <v>8117598</v>
      </c>
      <c r="J665" s="13"/>
      <c r="K665" s="13"/>
      <c r="L665" s="13"/>
      <c r="M665" s="8"/>
    </row>
    <row r="666" spans="1:13" s="3" customFormat="1" ht="12.2" customHeight="1" x14ac:dyDescent="0.25">
      <c r="A666" s="1" t="s">
        <v>131</v>
      </c>
      <c r="F666" s="392">
        <v>579.23</v>
      </c>
      <c r="G666" s="392">
        <v>0</v>
      </c>
      <c r="H666" s="392">
        <v>0</v>
      </c>
      <c r="I666" s="19">
        <f>SUM(F666:H666)</f>
        <v>579.23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13801.29</v>
      </c>
      <c r="G668" s="19" t="e">
        <f>ROUND(G665/G666,2)</f>
        <v>#DIV/0!</v>
      </c>
      <c r="H668" s="19" t="e">
        <f>ROUND(H665/H666,2)</f>
        <v>#DIV/0!</v>
      </c>
      <c r="I668" s="19">
        <f>ROUND(I665/I666,2)</f>
        <v>14014.46</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-51905</v>
      </c>
      <c r="H670" s="18">
        <v>-71570</v>
      </c>
      <c r="I670" s="19">
        <f>SUM(F670:H670)</f>
        <v>-123475</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13801.29</v>
      </c>
      <c r="G673" s="19" t="e">
        <f>ROUND((G665+G670)/(G666+G671),2)</f>
        <v>#DIV/0!</v>
      </c>
      <c r="H673" s="19" t="e">
        <f>ROUND((H665+H670)/(H666+H671),2)</f>
        <v>#DIV/0!</v>
      </c>
      <c r="I673" s="19">
        <f>ROUND((I665+I670)/(I666+I671),2)</f>
        <v>13801.29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2885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188800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118818</v>
      </c>
      <c r="F22" s="346"/>
    </row>
    <row r="23" spans="2:8" x14ac:dyDescent="0.25">
      <c r="B23" s="346"/>
      <c r="C23" s="346"/>
      <c r="D23" s="346"/>
      <c r="E23" s="346"/>
      <c r="F23" s="346"/>
    </row>
    <row r="24" spans="2:8" ht="26.25" customHeight="1" x14ac:dyDescent="0.25">
      <c r="B24" s="346"/>
      <c r="C24" s="348" t="s">
        <v>1661</v>
      </c>
      <c r="D24" s="346"/>
      <c r="E24" s="341"/>
      <c r="F24" s="346"/>
    </row>
    <row r="25" spans="2:8" ht="18" x14ac:dyDescent="0.25">
      <c r="B25" s="346"/>
      <c r="C25" s="349"/>
      <c r="D25" s="346"/>
      <c r="E25" s="346"/>
      <c r="F25" s="346"/>
    </row>
    <row r="26" spans="2:8" ht="27.75" customHeight="1" x14ac:dyDescent="0.25">
      <c r="B26" s="346"/>
      <c r="C26" s="348" t="s">
        <v>1662</v>
      </c>
      <c r="D26" s="346"/>
      <c r="E26" s="341">
        <v>50882</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59">
        <v>21985</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E23" sqref="E2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2" t="str">
        <f>'DOE25'!A2</f>
        <v>Auburn School District</v>
      </c>
      <c r="C5" s="363"/>
      <c r="D5" s="363"/>
      <c r="E5" s="363"/>
      <c r="F5" s="363"/>
    </row>
    <row r="8" spans="1:9" ht="18" x14ac:dyDescent="0.25">
      <c r="A8" s="317" t="s">
        <v>1576</v>
      </c>
      <c r="F8" s="324" t="s">
        <v>1594</v>
      </c>
    </row>
    <row r="9" spans="1:9" ht="15" x14ac:dyDescent="0.2">
      <c r="A9" s="315" t="s">
        <v>1577</v>
      </c>
      <c r="B9" s="318">
        <f>'DOE25'!G97</f>
        <v>15248</v>
      </c>
      <c r="F9" s="315" t="s">
        <v>1590</v>
      </c>
    </row>
    <row r="10" spans="1:9" ht="15" x14ac:dyDescent="0.2">
      <c r="A10" s="315" t="s">
        <v>1578</v>
      </c>
      <c r="B10" s="318">
        <f>'DOE25'!G112-'DOE25'!G97</f>
        <v>0</v>
      </c>
      <c r="F10" s="315" t="s">
        <v>1591</v>
      </c>
    </row>
    <row r="11" spans="1:9" ht="15" x14ac:dyDescent="0.2">
      <c r="A11" s="315" t="s">
        <v>1579</v>
      </c>
      <c r="B11" s="318">
        <f>'DOE25'!G140</f>
        <v>2699</v>
      </c>
      <c r="F11" s="315" t="s">
        <v>1592</v>
      </c>
    </row>
    <row r="12" spans="1:9" ht="15" x14ac:dyDescent="0.2">
      <c r="A12" s="315" t="s">
        <v>1580</v>
      </c>
      <c r="B12" s="318">
        <f>'DOE25'!G170</f>
        <v>197849</v>
      </c>
      <c r="F12" s="315" t="s">
        <v>1593</v>
      </c>
    </row>
    <row r="13" spans="1:9" ht="15" x14ac:dyDescent="0.2">
      <c r="A13" s="315" t="s">
        <v>1581</v>
      </c>
      <c r="B13" s="318">
        <f>'DOE25'!G193-'DOE25'!G180</f>
        <v>0</v>
      </c>
      <c r="F13" s="315" t="s">
        <v>1603</v>
      </c>
    </row>
    <row r="14" spans="1:9" ht="18" x14ac:dyDescent="0.25">
      <c r="A14" s="317" t="s">
        <v>732</v>
      </c>
      <c r="B14" s="319">
        <f>SUM(B9:B13)</f>
        <v>215796</v>
      </c>
    </row>
    <row r="16" spans="1:9" ht="18" x14ac:dyDescent="0.25">
      <c r="A16" s="317" t="s">
        <v>786</v>
      </c>
      <c r="F16" s="324" t="s">
        <v>1595</v>
      </c>
    </row>
    <row r="17" spans="1:6" ht="15" x14ac:dyDescent="0.2">
      <c r="A17" s="315" t="s">
        <v>1582</v>
      </c>
      <c r="B17" s="318">
        <f>'DOE25'!L363-'DOE25'!L362</f>
        <v>180321</v>
      </c>
      <c r="F17" s="315" t="s">
        <v>1596</v>
      </c>
    </row>
    <row r="18" spans="1:6" ht="15" x14ac:dyDescent="0.2">
      <c r="A18" s="315" t="s">
        <v>1583</v>
      </c>
      <c r="B18" s="328"/>
      <c r="F18" s="324" t="s">
        <v>1620</v>
      </c>
    </row>
    <row r="19" spans="1:6" ht="18" x14ac:dyDescent="0.25">
      <c r="A19" s="317" t="s">
        <v>725</v>
      </c>
      <c r="B19" s="319">
        <f>SUM(B17:B18)</f>
        <v>180321</v>
      </c>
    </row>
    <row r="21" spans="1:6" ht="18.75" thickBot="1" x14ac:dyDescent="0.3">
      <c r="A21" s="317" t="s">
        <v>1584</v>
      </c>
    </row>
    <row r="22" spans="1:6" ht="18.75" thickTop="1" x14ac:dyDescent="0.25">
      <c r="A22" s="317" t="s">
        <v>1585</v>
      </c>
      <c r="B22" s="323">
        <f>B14-B19</f>
        <v>35475</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35475</v>
      </c>
      <c r="F33" s="315" t="s">
        <v>1601</v>
      </c>
    </row>
    <row r="36" spans="1:6" ht="15" x14ac:dyDescent="0.2">
      <c r="A36" s="315" t="s">
        <v>1587</v>
      </c>
      <c r="B36" s="329">
        <v>15667</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E23" sqref="E23"/>
    </sheetView>
  </sheetViews>
  <sheetFormatPr defaultRowHeight="11.25" x14ac:dyDescent="0.2"/>
  <cols>
    <col min="1" max="1" width="26.6640625" customWidth="1"/>
    <col min="2" max="2" width="33.6640625" customWidth="1"/>
    <col min="3" max="3" width="29.5" customWidth="1"/>
  </cols>
  <sheetData>
    <row r="1" spans="1:3" x14ac:dyDescent="0.2">
      <c r="A1" s="233" t="s">
        <v>781</v>
      </c>
      <c r="B1" s="232" t="str">
        <f>'DOE25'!A2</f>
        <v>Auburn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2580715</v>
      </c>
      <c r="C9" s="229">
        <f>'DOE25'!G198+'DOE25'!G216+'DOE25'!G234+'DOE25'!G277+'DOE25'!G296+'DOE25'!G315</f>
        <v>1258316</v>
      </c>
    </row>
    <row r="10" spans="1:3" x14ac:dyDescent="0.2">
      <c r="A10" t="s">
        <v>775</v>
      </c>
      <c r="B10" s="240">
        <f>2374631+29000+46712</f>
        <v>2450343</v>
      </c>
      <c r="C10" s="240">
        <v>1248342.55</v>
      </c>
    </row>
    <row r="11" spans="1:3" x14ac:dyDescent="0.2">
      <c r="A11" t="s">
        <v>776</v>
      </c>
      <c r="B11" s="240">
        <v>44639</v>
      </c>
      <c r="C11" s="240">
        <v>3414.88</v>
      </c>
    </row>
    <row r="12" spans="1:3" x14ac:dyDescent="0.2">
      <c r="A12" t="s">
        <v>777</v>
      </c>
      <c r="B12" s="240">
        <v>85733</v>
      </c>
      <c r="C12" s="240">
        <v>6558.57</v>
      </c>
    </row>
    <row r="13" spans="1:3" x14ac:dyDescent="0.2">
      <c r="A13" t="str">
        <f>IF(B9=B13,IF(C9=C13,"Check Total OK","Check Total Error"),"Check Total Error")</f>
        <v>Check Total OK</v>
      </c>
      <c r="B13" s="231">
        <f>SUM(B10:B12)</f>
        <v>2580715</v>
      </c>
      <c r="C13" s="231">
        <f>SUM(C10:C12)</f>
        <v>1258316</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632819</v>
      </c>
      <c r="C18" s="229">
        <f>'DOE25'!G199+'DOE25'!G217+'DOE25'!G235+'DOE25'!G278+'DOE25'!G297+'DOE25'!G316</f>
        <v>250455</v>
      </c>
    </row>
    <row r="19" spans="1:3" x14ac:dyDescent="0.2">
      <c r="A19" t="s">
        <v>775</v>
      </c>
      <c r="B19" s="240">
        <v>347887</v>
      </c>
      <c r="C19" s="240">
        <v>198720.74</v>
      </c>
    </row>
    <row r="20" spans="1:3" x14ac:dyDescent="0.2">
      <c r="A20" t="s">
        <v>776</v>
      </c>
      <c r="B20" s="240">
        <v>168331</v>
      </c>
      <c r="C20" s="240">
        <v>12877.32</v>
      </c>
    </row>
    <row r="21" spans="1:3" x14ac:dyDescent="0.2">
      <c r="A21" t="s">
        <v>777</v>
      </c>
      <c r="B21" s="240">
        <v>116601</v>
      </c>
      <c r="C21" s="240">
        <v>38856.94</v>
      </c>
    </row>
    <row r="22" spans="1:3" x14ac:dyDescent="0.2">
      <c r="A22" t="str">
        <f>IF(B18=B22,IF(C18=C22,"Check Total OK","Check Total Error"),"Check Total Error")</f>
        <v>Check Total OK</v>
      </c>
      <c r="B22" s="231">
        <f>SUM(B19:B21)</f>
        <v>632819</v>
      </c>
      <c r="C22" s="231">
        <f>SUM(C19:C21)</f>
        <v>250455</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26275</v>
      </c>
      <c r="C36" s="235">
        <f>'DOE25'!G201+'DOE25'!G219+'DOE25'!G237+'DOE25'!G280+'DOE25'!G299+'DOE25'!G318</f>
        <v>4379</v>
      </c>
    </row>
    <row r="37" spans="1:3" x14ac:dyDescent="0.2">
      <c r="A37" t="s">
        <v>775</v>
      </c>
      <c r="B37" s="240">
        <v>12125</v>
      </c>
      <c r="C37" s="240">
        <v>3296.53</v>
      </c>
    </row>
    <row r="38" spans="1:3" x14ac:dyDescent="0.2">
      <c r="A38" t="s">
        <v>776</v>
      </c>
      <c r="B38" s="240">
        <v>1450</v>
      </c>
      <c r="C38" s="240">
        <v>110.92</v>
      </c>
    </row>
    <row r="39" spans="1:3" x14ac:dyDescent="0.2">
      <c r="A39" t="s">
        <v>777</v>
      </c>
      <c r="B39" s="240">
        <v>12700</v>
      </c>
      <c r="C39" s="240">
        <v>971.55</v>
      </c>
    </row>
    <row r="40" spans="1:3" x14ac:dyDescent="0.2">
      <c r="A40" t="str">
        <f>IF(B36=B40,IF(C36=C40,"Check Total OK","Check Total Error"),"Check Total Error")</f>
        <v>Check Total OK</v>
      </c>
      <c r="B40" s="231">
        <f>SUM(B37:B39)</f>
        <v>26275</v>
      </c>
      <c r="C40" s="231">
        <f>SUM(C37:C39)</f>
        <v>4379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E23" sqref="E23"/>
      <selection pane="bottomLeft" activeCell="E23" sqref="E23"/>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66" t="s">
        <v>892</v>
      </c>
      <c r="B1" s="369"/>
      <c r="C1" s="369"/>
      <c r="D1" s="369"/>
      <c r="E1" s="369"/>
      <c r="F1" s="369"/>
      <c r="G1" s="369"/>
      <c r="H1" s="369"/>
      <c r="I1" s="181"/>
    </row>
    <row r="2" spans="1:9" x14ac:dyDescent="0.2">
      <c r="A2" s="33" t="s">
        <v>713</v>
      </c>
      <c r="B2" s="258" t="str">
        <f>'DOE25'!A2</f>
        <v>Auburn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10007768</v>
      </c>
      <c r="D5" s="20">
        <f>SUM('DOE25'!L198:L201)+SUM('DOE25'!L216:L219)+SUM('DOE25'!L234:L237)-F5-G5-H5</f>
        <v>9911919.0199999996</v>
      </c>
      <c r="E5" s="243"/>
      <c r="F5" s="244">
        <v>53444.98</v>
      </c>
      <c r="G5" s="53">
        <f>SUM('DOE25'!J198:J201)+SUM('DOE25'!J216:J219)+SUM('DOE25'!J234:J237)</f>
        <v>40799</v>
      </c>
      <c r="H5" s="53">
        <f>SUM('DOE25'!K198:K201)+SUM('DOE25'!K216:K219)+SUM('DOE25'!K234:K237)</f>
        <v>1605</v>
      </c>
      <c r="I5" s="254"/>
    </row>
    <row r="6" spans="1:9" x14ac:dyDescent="0.2">
      <c r="A6" s="32">
        <v>2100</v>
      </c>
      <c r="B6" t="s">
        <v>796</v>
      </c>
      <c r="C6" s="273">
        <f t="shared" si="0"/>
        <v>679025</v>
      </c>
      <c r="D6" s="20">
        <f>'DOE25'!L203+'DOE25'!L221+'DOE25'!L239-F6-G6-H6</f>
        <v>678846</v>
      </c>
      <c r="E6" s="243"/>
      <c r="F6" s="244"/>
      <c r="G6" s="53">
        <f>'DOE25'!J203+'DOE25'!J221+'DOE25'!J239</f>
        <v>0</v>
      </c>
      <c r="H6" s="53">
        <f>'DOE25'!K203+'DOE25'!K221+'DOE25'!K239</f>
        <v>179</v>
      </c>
      <c r="I6" s="254"/>
    </row>
    <row r="7" spans="1:9" x14ac:dyDescent="0.2">
      <c r="A7" s="32">
        <v>2200</v>
      </c>
      <c r="B7" t="s">
        <v>821</v>
      </c>
      <c r="C7" s="273">
        <f t="shared" si="0"/>
        <v>260779</v>
      </c>
      <c r="D7" s="20">
        <f>'DOE25'!L204+'DOE25'!L222+'DOE25'!L240-F7-G7-H7</f>
        <v>260779</v>
      </c>
      <c r="E7" s="243"/>
      <c r="F7" s="244"/>
      <c r="G7" s="53">
        <f>'DOE25'!J204+'DOE25'!J222+'DOE25'!J240</f>
        <v>0</v>
      </c>
      <c r="H7" s="53">
        <f>'DOE25'!K204+'DOE25'!K222+'DOE25'!K240</f>
        <v>0</v>
      </c>
      <c r="I7" s="254"/>
    </row>
    <row r="8" spans="1:9" x14ac:dyDescent="0.2">
      <c r="A8" s="32">
        <v>2300</v>
      </c>
      <c r="B8" t="s">
        <v>797</v>
      </c>
      <c r="C8" s="273">
        <f t="shared" si="0"/>
        <v>186891.49</v>
      </c>
      <c r="D8" s="243"/>
      <c r="E8" s="20">
        <f>'DOE25'!L205+'DOE25'!L223+'DOE25'!L241-F8-G8-H8-D9-D11</f>
        <v>182723.49</v>
      </c>
      <c r="F8" s="244"/>
      <c r="G8" s="53">
        <f>'DOE25'!J205+'DOE25'!J223+'DOE25'!J241</f>
        <v>0</v>
      </c>
      <c r="H8" s="53">
        <f>'DOE25'!K205+'DOE25'!K223+'DOE25'!K241</f>
        <v>4168</v>
      </c>
      <c r="I8" s="254"/>
    </row>
    <row r="9" spans="1:9" ht="14.25" x14ac:dyDescent="0.2">
      <c r="A9" s="32">
        <v>2310</v>
      </c>
      <c r="B9" s="185" t="s">
        <v>888</v>
      </c>
      <c r="C9" s="273">
        <f t="shared" si="0"/>
        <v>54652</v>
      </c>
      <c r="D9" s="244">
        <v>54652</v>
      </c>
      <c r="E9" s="243"/>
      <c r="F9" s="251"/>
      <c r="G9" s="251"/>
      <c r="H9" s="251"/>
      <c r="I9" s="254"/>
    </row>
    <row r="10" spans="1:9" ht="14.25" x14ac:dyDescent="0.2">
      <c r="A10" s="32">
        <v>2317</v>
      </c>
      <c r="B10" s="185" t="s">
        <v>889</v>
      </c>
      <c r="C10" s="273">
        <f t="shared" si="0"/>
        <v>8326</v>
      </c>
      <c r="D10" s="243"/>
      <c r="E10" s="244">
        <v>8326</v>
      </c>
      <c r="F10" s="251"/>
      <c r="G10" s="251"/>
      <c r="H10" s="251"/>
      <c r="I10" s="254"/>
    </row>
    <row r="11" spans="1:9" ht="14.25" x14ac:dyDescent="0.2">
      <c r="A11" s="32">
        <v>2321</v>
      </c>
      <c r="B11" s="185" t="s">
        <v>890</v>
      </c>
      <c r="C11" s="273">
        <f t="shared" si="0"/>
        <v>140934.51</v>
      </c>
      <c r="D11" s="244">
        <v>140934.51</v>
      </c>
      <c r="E11" s="243"/>
      <c r="F11" s="251"/>
      <c r="G11" s="251"/>
      <c r="H11" s="251"/>
      <c r="I11" s="254"/>
    </row>
    <row r="12" spans="1:9" x14ac:dyDescent="0.2">
      <c r="A12" s="32">
        <v>2400</v>
      </c>
      <c r="B12" t="s">
        <v>711</v>
      </c>
      <c r="C12" s="273">
        <f t="shared" si="0"/>
        <v>461497</v>
      </c>
      <c r="D12" s="20">
        <f>'DOE25'!L206+'DOE25'!L224+'DOE25'!L242-F12-G12-H12</f>
        <v>454943</v>
      </c>
      <c r="E12" s="243"/>
      <c r="F12" s="244"/>
      <c r="G12" s="53">
        <f>'DOE25'!J206+'DOE25'!J224+'DOE25'!J242</f>
        <v>5257</v>
      </c>
      <c r="H12" s="53">
        <f>'DOE25'!K206+'DOE25'!K224+'DOE25'!K242</f>
        <v>1297</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613425</v>
      </c>
      <c r="D14" s="20">
        <f>'DOE25'!L208+'DOE25'!L226+'DOE25'!L244-F14-G14-H14</f>
        <v>597739</v>
      </c>
      <c r="E14" s="243"/>
      <c r="F14" s="244"/>
      <c r="G14" s="53">
        <f>'DOE25'!J208+'DOE25'!J226+'DOE25'!J244</f>
        <v>15686</v>
      </c>
      <c r="H14" s="53">
        <f>'DOE25'!K208+'DOE25'!K226+'DOE25'!K244</f>
        <v>0</v>
      </c>
      <c r="I14" s="254"/>
    </row>
    <row r="15" spans="1:9" x14ac:dyDescent="0.2">
      <c r="A15" s="32">
        <v>2700</v>
      </c>
      <c r="B15" t="s">
        <v>799</v>
      </c>
      <c r="C15" s="273">
        <f t="shared" si="0"/>
        <v>780453</v>
      </c>
      <c r="D15" s="20">
        <f>'DOE25'!L209+'DOE25'!L227+'DOE25'!L245-F15-G15-H15</f>
        <v>55008</v>
      </c>
      <c r="E15" s="243"/>
      <c r="F15" s="244">
        <v>725445</v>
      </c>
      <c r="G15" s="53">
        <f>'DOE25'!J209+'DOE25'!J227+'DOE25'!J245</f>
        <v>0</v>
      </c>
      <c r="H15" s="53">
        <f>'DOE25'!K209+'DOE25'!K227+'DOE25'!K245</f>
        <v>0</v>
      </c>
      <c r="I15" s="254"/>
    </row>
    <row r="16" spans="1:9" x14ac:dyDescent="0.2">
      <c r="A16" s="32">
        <v>2800</v>
      </c>
      <c r="B16" t="s">
        <v>800</v>
      </c>
      <c r="C16" s="273">
        <f t="shared" si="0"/>
        <v>311256</v>
      </c>
      <c r="D16" s="243"/>
      <c r="E16" s="20">
        <f>'DOE25'!L210+'DOE25'!L228+'DOE25'!L246-F16-G16-H16</f>
        <v>160427</v>
      </c>
      <c r="F16" s="244"/>
      <c r="G16" s="53">
        <f>'DOE25'!J210+'DOE25'!J228+'DOE25'!J246</f>
        <v>150429</v>
      </c>
      <c r="H16" s="53">
        <f>'DOE25'!K210+'DOE25'!K228+'DOE25'!K246</f>
        <v>400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1177553</v>
      </c>
      <c r="D25" s="243"/>
      <c r="E25" s="243"/>
      <c r="F25" s="253"/>
      <c r="G25" s="251"/>
      <c r="H25" s="251"/>
      <c r="I25" s="252">
        <f>'DOE25'!L261+'DOE25'!L262+'DOE25'!L342+'DOE25'!L343</f>
        <v>1177553</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98689</v>
      </c>
      <c r="D29" s="281">
        <f>'DOE25'!L359+'DOE25'!L360+'DOE25'!L361-'DOE25'!I368-F29-G29-H29</f>
        <v>98293</v>
      </c>
      <c r="E29" s="243"/>
      <c r="F29" s="244"/>
      <c r="G29" s="53">
        <f>'DOE25'!J359+'DOE25'!J360+'DOE25'!J361</f>
        <v>396</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371193</v>
      </c>
      <c r="D31" s="20">
        <f>'DOE25'!L291+'DOE25'!L310+'DOE25'!L329+'DOE25'!L334+'DOE25'!L335+'DOE25'!L336-F31-G31-H31</f>
        <v>334109</v>
      </c>
      <c r="E31" s="243"/>
      <c r="F31" s="244"/>
      <c r="G31" s="53">
        <f>'DOE25'!J291+'DOE25'!J310+'DOE25'!J329+'DOE25'!J334+'DOE25'!J335+'DOE25'!J336</f>
        <v>34153</v>
      </c>
      <c r="H31" s="53">
        <f>'DOE25'!K291+'DOE25'!K310+'DOE25'!K329+'DOE25'!K334+'DOE25'!K335+'DOE25'!K336</f>
        <v>2931</v>
      </c>
      <c r="I31" s="254"/>
    </row>
    <row r="32" spans="1:9" ht="12" thickBot="1" x14ac:dyDescent="0.25">
      <c r="C32" s="274"/>
      <c r="G32" s="249"/>
      <c r="H32" s="249"/>
      <c r="I32" s="256"/>
    </row>
    <row r="33" spans="1:9" ht="12" thickTop="1" x14ac:dyDescent="0.2">
      <c r="B33" t="s">
        <v>809</v>
      </c>
      <c r="D33" s="245">
        <f t="shared" ref="D33:I33" si="1">SUM(D5:D31)</f>
        <v>12587222.529999999</v>
      </c>
      <c r="E33" s="245">
        <f t="shared" si="1"/>
        <v>351476.49</v>
      </c>
      <c r="F33" s="245">
        <f t="shared" si="1"/>
        <v>778889.98</v>
      </c>
      <c r="G33" s="245">
        <f t="shared" si="1"/>
        <v>246720</v>
      </c>
      <c r="H33" s="245">
        <f t="shared" si="1"/>
        <v>10580</v>
      </c>
      <c r="I33" s="245">
        <f t="shared" si="1"/>
        <v>1177553</v>
      </c>
    </row>
    <row r="35" spans="1:9" ht="12" thickBot="1" x14ac:dyDescent="0.25">
      <c r="B35" s="249" t="s">
        <v>831</v>
      </c>
      <c r="D35" s="250">
        <f>E33</f>
        <v>351476.49</v>
      </c>
      <c r="E35" s="246"/>
      <c r="F35" s="333" t="s">
        <v>1632</v>
      </c>
      <c r="G35" s="334"/>
      <c r="H35" s="334"/>
      <c r="I35" s="334"/>
    </row>
    <row r="36" spans="1:9" ht="12" thickTop="1" x14ac:dyDescent="0.2">
      <c r="B36" t="s">
        <v>810</v>
      </c>
      <c r="D36" s="20">
        <f>D33</f>
        <v>12587222.529999999</v>
      </c>
      <c r="F36" s="336"/>
      <c r="G36" s="335" t="str">
        <f>IF(F36=0,"&lt;&lt;&lt;&lt;&lt; YOU HAVE NOT CHOSEN IF YOU WANT AN INDIRECT COST RATE!!","")</f>
        <v>&lt;&lt;&lt;&lt;&lt; YOU HAVE NOT CHOSEN IF YOU WANT AN INDIRECT COST RATE!!</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3"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26" sqref="A2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1640625" customWidth="1"/>
    <col min="9" max="9" width="42.332031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Auburn School District</v>
      </c>
      <c r="B2" s="126">
        <f>'DOE25'!B2</f>
        <v>29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8597345.3300000001</v>
      </c>
      <c r="G4" s="300">
        <f>'DOE25'!L212+'DOE25'!L291</f>
        <v>8597345.3300000001</v>
      </c>
      <c r="H4" s="353">
        <f>F4-G4</f>
        <v>0</v>
      </c>
      <c r="I4" s="371" t="str">
        <f>IF(H4=0,"","ISSUES!! Please review page 7 and 11 totals in comparison with total on this page")</f>
        <v/>
      </c>
      <c r="N4"/>
    </row>
    <row r="5" spans="1:18" x14ac:dyDescent="0.2">
      <c r="A5" s="21" t="s">
        <v>924</v>
      </c>
      <c r="B5" s="301">
        <f>IFERROR(VLOOKUP(A5,'School Tables'!$C$3:$D$365,2,FALSE),"")</f>
        <v>20530</v>
      </c>
      <c r="C5" s="294" t="str">
        <f>IFERROR(INDEX('School Tables'!$B$3:$B$365,MATCH('School Level Expenditures'!B5,'School Tables'!$D$3:$D$365,0)),"")</f>
        <v>Auburn</v>
      </c>
      <c r="D5" s="291">
        <v>8226152.3300000001</v>
      </c>
      <c r="E5" s="291">
        <v>371193</v>
      </c>
      <c r="F5" s="304">
        <f>D5+E5</f>
        <v>8597345.3300000001</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8226152.3300000001</v>
      </c>
      <c r="E21" s="351">
        <f>SUM(E5:E20)</f>
        <v>371193</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236427</v>
      </c>
      <c r="G24" s="300">
        <f>'DOE25'!L230+'DOE25'!L310</f>
        <v>236427</v>
      </c>
      <c r="H24" s="353">
        <f>F24-G24</f>
        <v>0</v>
      </c>
      <c r="I24" s="371" t="str">
        <f>IF(H24=0,"","ISSUES!! Please review page 8 and 12 totals in comparison with total on this page")</f>
        <v/>
      </c>
      <c r="N24"/>
    </row>
    <row r="25" spans="1:14" x14ac:dyDescent="0.2">
      <c r="A25" s="21" t="s">
        <v>1555</v>
      </c>
      <c r="B25" s="301">
        <f>IFERROR(VLOOKUP(A25,'School Tables'!$I$3:$J$80,2,FALSE),"")</f>
        <v>99999</v>
      </c>
      <c r="C25" s="294" t="str">
        <f t="array" ref="C25">IFERROR(INDEX('School Tables'!$H$3:$H$80,MATCH('School Level Expenditures'!B25,'School Tables'!$J$3:$J$80,0)),"")</f>
        <v>Other District Expenditures</v>
      </c>
      <c r="D25" s="291">
        <v>236427</v>
      </c>
      <c r="E25" s="291"/>
      <c r="F25" s="304">
        <f>D25+E25</f>
        <v>236427</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236427</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5034101.67</v>
      </c>
      <c r="G36" s="300">
        <f>'DOE25'!L248+'DOE25'!L329</f>
        <v>5034101.67</v>
      </c>
      <c r="H36" s="353">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5034101.67</v>
      </c>
      <c r="E37" s="291"/>
      <c r="F37" s="304">
        <f t="shared" ref="F37:F42" si="2">D37+E37</f>
        <v>5034101.67</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5034101.67</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E23" sqref="E23"/>
      <selection pane="bottomLeft" activeCell="E23" sqref="E23"/>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Auburn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2046660</v>
      </c>
      <c r="D8" s="95">
        <f>'DOE25'!G9</f>
        <v>0</v>
      </c>
      <c r="E8" s="95">
        <f>'DOE25'!H9</f>
        <v>0</v>
      </c>
      <c r="F8" s="95">
        <f>'DOE25'!I9</f>
        <v>32315</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71357</v>
      </c>
      <c r="D11" s="95">
        <f>'DOE25'!G12</f>
        <v>2574</v>
      </c>
      <c r="E11" s="95">
        <f>'DOE25'!H12</f>
        <v>0</v>
      </c>
      <c r="F11" s="95">
        <f>'DOE25'!I12</f>
        <v>122000</v>
      </c>
      <c r="G11" s="95">
        <f>'DOE25'!J12</f>
        <v>307101</v>
      </c>
      <c r="H11" s="124"/>
      <c r="I11" s="124"/>
    </row>
    <row r="12" spans="1:9" x14ac:dyDescent="0.2">
      <c r="A12" s="1" t="s">
        <v>143</v>
      </c>
      <c r="B12" s="6">
        <v>140</v>
      </c>
      <c r="C12" s="95">
        <f>'DOE25'!F13</f>
        <v>23207</v>
      </c>
      <c r="D12" s="95">
        <f>'DOE25'!G13</f>
        <v>45042</v>
      </c>
      <c r="E12" s="95">
        <f>'DOE25'!H13</f>
        <v>99271</v>
      </c>
      <c r="F12" s="95">
        <f>'DOE25'!I13</f>
        <v>0</v>
      </c>
      <c r="G12" s="95">
        <f>'DOE25'!J13</f>
        <v>0</v>
      </c>
      <c r="H12" s="124"/>
      <c r="I12" s="124"/>
    </row>
    <row r="13" spans="1:9" x14ac:dyDescent="0.2">
      <c r="A13" s="1" t="s">
        <v>144</v>
      </c>
      <c r="B13" s="6">
        <v>150</v>
      </c>
      <c r="C13" s="95">
        <f>'DOE25'!F14</f>
        <v>1060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2142284</v>
      </c>
      <c r="D18" s="41">
        <f>SUM(D8:D17)</f>
        <v>47616</v>
      </c>
      <c r="E18" s="41">
        <f>SUM(E8:E17)</f>
        <v>99271</v>
      </c>
      <c r="F18" s="41">
        <f>SUM(F8:F17)</f>
        <v>154315</v>
      </c>
      <c r="G18" s="41">
        <f>SUM(G8:G17)</f>
        <v>307101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124574</v>
      </c>
      <c r="D21" s="95">
        <f>'DOE25'!G22</f>
        <v>0</v>
      </c>
      <c r="E21" s="95">
        <f>'DOE25'!H22</f>
        <v>71357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126618</v>
      </c>
      <c r="D23" s="95">
        <f>'DOE25'!G24</f>
        <v>30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9254</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12111</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260446</v>
      </c>
      <c r="D31" s="41">
        <f>SUM(D21:D30)</f>
        <v>12141</v>
      </c>
      <c r="E31" s="41">
        <f>SUM(E21:E30)</f>
        <v>71357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35475</v>
      </c>
      <c r="E39" s="24" t="s">
        <v>288</v>
      </c>
      <c r="F39" s="24" t="s">
        <v>288</v>
      </c>
      <c r="G39" s="24" t="s">
        <v>288</v>
      </c>
      <c r="H39" s="124"/>
      <c r="I39" s="124"/>
    </row>
    <row r="40" spans="1:9" x14ac:dyDescent="0.2">
      <c r="A40" s="1" t="s">
        <v>871</v>
      </c>
      <c r="B40" s="6"/>
      <c r="C40" s="24" t="s">
        <v>288</v>
      </c>
      <c r="D40" s="24" t="s">
        <v>288</v>
      </c>
      <c r="E40" s="24" t="s">
        <v>288</v>
      </c>
      <c r="F40" s="95">
        <f>'DOE25'!I41</f>
        <v>154315</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27914</v>
      </c>
      <c r="F47" s="95">
        <f>'DOE25'!I48</f>
        <v>0</v>
      </c>
      <c r="G47" s="95">
        <f>'DOE25'!J48</f>
        <v>307101</v>
      </c>
      <c r="H47" s="124"/>
      <c r="I47" s="124"/>
    </row>
    <row r="48" spans="1:9" x14ac:dyDescent="0.2">
      <c r="A48" s="1" t="s">
        <v>882</v>
      </c>
      <c r="B48" s="6">
        <v>753</v>
      </c>
      <c r="C48" s="95">
        <f>'DOE25'!F49</f>
        <v>476239</v>
      </c>
      <c r="D48" s="95">
        <f>'DOE25'!G49</f>
        <v>0</v>
      </c>
      <c r="E48" s="95">
        <f>'DOE25'!H49</f>
        <v>0</v>
      </c>
      <c r="F48" s="95">
        <f>'DOE25'!I49</f>
        <v>0</v>
      </c>
      <c r="G48" s="95">
        <f>'DOE25'!J49</f>
        <v>0</v>
      </c>
      <c r="H48" s="124"/>
      <c r="I48" s="124"/>
    </row>
    <row r="49" spans="1:9" ht="12" thickBot="1" x14ac:dyDescent="0.25">
      <c r="A49" s="29" t="s">
        <v>883</v>
      </c>
      <c r="B49" s="71">
        <v>770</v>
      </c>
      <c r="C49" s="95">
        <f>'DOE25'!F50</f>
        <v>1405599</v>
      </c>
      <c r="D49" s="24" t="s">
        <v>288</v>
      </c>
      <c r="E49" s="24" t="s">
        <v>288</v>
      </c>
      <c r="F49" s="24" t="s">
        <v>288</v>
      </c>
      <c r="G49" s="24" t="s">
        <v>288</v>
      </c>
      <c r="H49" s="124"/>
      <c r="I49" s="124"/>
    </row>
    <row r="50" spans="1:9" ht="12.75" thickTop="1" thickBot="1" x14ac:dyDescent="0.25">
      <c r="A50" s="38" t="s">
        <v>884</v>
      </c>
      <c r="B50" s="48"/>
      <c r="C50" s="41">
        <f>SUM(C34:C49)</f>
        <v>1881838</v>
      </c>
      <c r="D50" s="41">
        <f>SUM(D34:D49)</f>
        <v>35475</v>
      </c>
      <c r="E50" s="41">
        <f>SUM(E34:E49)</f>
        <v>27914</v>
      </c>
      <c r="F50" s="41">
        <f>SUM(F34:F49)</f>
        <v>154315</v>
      </c>
      <c r="G50" s="41">
        <f>SUM(G34:G49)</f>
        <v>307101</v>
      </c>
      <c r="H50" s="124"/>
      <c r="I50" s="124"/>
    </row>
    <row r="51" spans="1:9" ht="12" thickTop="1" x14ac:dyDescent="0.2">
      <c r="A51" s="38" t="s">
        <v>885</v>
      </c>
      <c r="B51" s="2"/>
      <c r="C51" s="41">
        <f>C50+C31</f>
        <v>2142284</v>
      </c>
      <c r="D51" s="41">
        <f>D50+D31</f>
        <v>47616</v>
      </c>
      <c r="E51" s="41">
        <f>E50+E31</f>
        <v>99271</v>
      </c>
      <c r="F51" s="41">
        <f>F50+F31</f>
        <v>154315</v>
      </c>
      <c r="G51" s="41">
        <f>G50+G31</f>
        <v>307101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10880863</v>
      </c>
      <c r="D56" s="95">
        <f>'DOE25'!G60</f>
        <v>0</v>
      </c>
      <c r="E56" s="95">
        <f>'DOE25'!H60</f>
        <v>0</v>
      </c>
      <c r="F56" s="95">
        <f>'DOE25'!I60</f>
        <v>0</v>
      </c>
      <c r="G56" s="95">
        <f>'DOE25'!J60</f>
        <v>0</v>
      </c>
      <c r="H56"/>
      <c r="I56"/>
    </row>
    <row r="57" spans="1:9" x14ac:dyDescent="0.2">
      <c r="A57" s="1" t="s">
        <v>164</v>
      </c>
      <c r="B57" s="6" t="s">
        <v>165</v>
      </c>
      <c r="C57" s="95">
        <f>'DOE25'!F79</f>
        <v>11910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1682</v>
      </c>
      <c r="D59" s="95">
        <f>'DOE25'!G96</f>
        <v>0</v>
      </c>
      <c r="E59" s="95">
        <f>'DOE25'!H96</f>
        <v>0</v>
      </c>
      <c r="F59" s="95">
        <f>'DOE25'!I96</f>
        <v>588</v>
      </c>
      <c r="G59" s="95">
        <f>'DOE25'!J96</f>
        <v>490.14</v>
      </c>
      <c r="H59"/>
      <c r="I59"/>
    </row>
    <row r="60" spans="1:9" x14ac:dyDescent="0.2">
      <c r="A60" s="1" t="s">
        <v>170</v>
      </c>
      <c r="B60" s="118" t="s">
        <v>171</v>
      </c>
      <c r="C60" s="24" t="s">
        <v>288</v>
      </c>
      <c r="D60" s="95">
        <f>'DOE25'!G97</f>
        <v>15248</v>
      </c>
      <c r="E60" s="24" t="s">
        <v>288</v>
      </c>
      <c r="F60" s="24" t="s">
        <v>288</v>
      </c>
      <c r="G60" s="24" t="s">
        <v>288</v>
      </c>
      <c r="H60"/>
      <c r="I60"/>
    </row>
    <row r="61" spans="1:9" ht="12" thickBot="1" x14ac:dyDescent="0.25">
      <c r="A61" s="1" t="s">
        <v>172</v>
      </c>
      <c r="B61" s="118" t="s">
        <v>173</v>
      </c>
      <c r="C61" s="95">
        <f>SUM('DOE25'!F98:F110)</f>
        <v>4909</v>
      </c>
      <c r="D61" s="95">
        <f>SUM('DOE25'!G98:G110)</f>
        <v>0</v>
      </c>
      <c r="E61" s="95">
        <f>SUM('DOE25'!H98:H110)</f>
        <v>300</v>
      </c>
      <c r="F61" s="95">
        <f>SUM('DOE25'!I98:I110)</f>
        <v>0</v>
      </c>
      <c r="G61" s="95">
        <f>SUM('DOE25'!J98:J110)</f>
        <v>0</v>
      </c>
      <c r="H61"/>
      <c r="I61"/>
    </row>
    <row r="62" spans="1:9" ht="12.75" thickTop="1" thickBot="1" x14ac:dyDescent="0.25">
      <c r="A62" s="29" t="s">
        <v>174</v>
      </c>
      <c r="B62" s="6"/>
      <c r="C62" s="130">
        <f>SUM(C57:C61)</f>
        <v>18501</v>
      </c>
      <c r="D62" s="130">
        <f>SUM(D57:D61)</f>
        <v>15248</v>
      </c>
      <c r="E62" s="130">
        <f>SUM(E57:E61)</f>
        <v>300</v>
      </c>
      <c r="F62" s="130">
        <f>SUM(F57:F61)</f>
        <v>588</v>
      </c>
      <c r="G62" s="130">
        <f>SUM(G57:G61)</f>
        <v>490.14</v>
      </c>
      <c r="H62"/>
      <c r="I62"/>
    </row>
    <row r="63" spans="1:9" ht="12" thickTop="1" x14ac:dyDescent="0.2">
      <c r="A63" s="29" t="s">
        <v>175</v>
      </c>
      <c r="B63" s="6"/>
      <c r="C63" s="22">
        <f>C56+C62</f>
        <v>10899364</v>
      </c>
      <c r="D63" s="22">
        <f>D56+D62</f>
        <v>15248</v>
      </c>
      <c r="E63" s="22">
        <f>E56+E62</f>
        <v>300</v>
      </c>
      <c r="F63" s="22">
        <f>F56+F62</f>
        <v>588</v>
      </c>
      <c r="G63" s="22">
        <f>G56+G62</f>
        <v>490.14</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2372514</v>
      </c>
      <c r="D66" s="24" t="s">
        <v>288</v>
      </c>
      <c r="E66" s="24" t="s">
        <v>288</v>
      </c>
      <c r="F66" s="24" t="s">
        <v>288</v>
      </c>
      <c r="G66" s="24" t="s">
        <v>288</v>
      </c>
      <c r="H66"/>
      <c r="I66"/>
    </row>
    <row r="67" spans="1:9" x14ac:dyDescent="0.2">
      <c r="A67" s="1" t="s">
        <v>770</v>
      </c>
      <c r="B67" s="6">
        <v>3112</v>
      </c>
      <c r="C67" s="95">
        <f>'DOE25'!F118</f>
        <v>1645684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v>
      </c>
      <c r="D69" s="95">
        <f>'DOE25'!G120</f>
        <v>0</v>
      </c>
      <c r="E69" s="95">
        <f>'DOE25'!H120</f>
        <v>0</v>
      </c>
      <c r="F69" s="95">
        <f>'DOE25'!I120</f>
        <v>0</v>
      </c>
      <c r="G69" s="95">
        <f>'DOE25'!J120</f>
        <v>0</v>
      </c>
      <c r="H69"/>
      <c r="I69"/>
    </row>
    <row r="70" spans="1:9" ht="12" thickTop="1" x14ac:dyDescent="0.2">
      <c r="A70" s="29" t="s">
        <v>252</v>
      </c>
      <c r="B70" s="2"/>
      <c r="C70" s="139">
        <f>SUM(C66:C69)</f>
        <v>4020193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201187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2699</v>
      </c>
      <c r="E77" s="95">
        <f>SUM('DOE25'!H131:H135)</f>
        <v>8400</v>
      </c>
      <c r="F77" s="95">
        <f>SUM('DOE25'!I131:I135)</f>
        <v>0</v>
      </c>
      <c r="G77" s="95">
        <f>SUM('DOE25'!J131:J135)</f>
        <v>0</v>
      </c>
      <c r="H77"/>
      <c r="I77"/>
    </row>
    <row r="78" spans="1:9" ht="12.75" thickTop="1" thickBot="1" x14ac:dyDescent="0.25">
      <c r="A78" s="29" t="s">
        <v>259</v>
      </c>
      <c r="B78" s="6"/>
      <c r="C78" s="130">
        <f>SUM(C72:C77)</f>
        <v>201187</v>
      </c>
      <c r="D78" s="130">
        <f>SUM(D72:D77)</f>
        <v>2699</v>
      </c>
      <c r="E78" s="130">
        <f>SUM(E72:E77)</f>
        <v>8400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4221380</v>
      </c>
      <c r="D81" s="130">
        <f>SUM(D79:D80)+D78+D70</f>
        <v>2699</v>
      </c>
      <c r="E81" s="130">
        <f>SUM(E79:E80)+E78+E70</f>
        <v>8400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169915</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13</v>
      </c>
      <c r="D88" s="331">
        <f>SUM('DOE25'!G153:G162)</f>
        <v>27934</v>
      </c>
      <c r="E88" s="331">
        <f>SUM('DOE25'!H153:H162)</f>
        <v>370773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13</v>
      </c>
      <c r="D91" s="131">
        <f>SUM(D85:D90)</f>
        <v>197849</v>
      </c>
      <c r="E91" s="131">
        <f>SUM(E85:E90)</f>
        <v>370773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0</v>
      </c>
    </row>
    <row r="104" spans="1:7" ht="12.75" thickTop="1" thickBot="1" x14ac:dyDescent="0.25">
      <c r="A104" s="33" t="s">
        <v>761</v>
      </c>
      <c r="C104" s="86">
        <f>C63+C81+C91+C103</f>
        <v>15120757</v>
      </c>
      <c r="D104" s="86">
        <f>D63+D81+D91+D103</f>
        <v>215796</v>
      </c>
      <c r="E104" s="86">
        <f>E63+E81+E91+E103</f>
        <v>379473</v>
      </c>
      <c r="F104" s="86">
        <f>F63+F81+F91+F103</f>
        <v>588</v>
      </c>
      <c r="G104" s="86">
        <f>G63+G81+G103</f>
        <v>490.14</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7456944</v>
      </c>
      <c r="D109" s="24" t="s">
        <v>288</v>
      </c>
      <c r="E109" s="95">
        <f>('DOE25'!L277)+('DOE25'!L296)+('DOE25'!L315)</f>
        <v>153539</v>
      </c>
      <c r="F109" s="24" t="s">
        <v>288</v>
      </c>
      <c r="G109" s="24" t="s">
        <v>288</v>
      </c>
    </row>
    <row r="110" spans="1:7" x14ac:dyDescent="0.2">
      <c r="A110" t="s">
        <v>198</v>
      </c>
      <c r="B110" s="32" t="s">
        <v>199</v>
      </c>
      <c r="C110" s="95">
        <f>('DOE25'!L199)+('DOE25'!L217)+('DOE25'!L235)</f>
        <v>2505535</v>
      </c>
      <c r="D110" s="24" t="s">
        <v>288</v>
      </c>
      <c r="E110" s="95">
        <f>('DOE25'!L278)+('DOE25'!L297)+('DOE25'!L316)</f>
        <v>110660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45289</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10007768</v>
      </c>
      <c r="D115" s="86">
        <f>SUM(D109:D114)</f>
        <v>0</v>
      </c>
      <c r="E115" s="86">
        <f>SUM(E109:E114)</f>
        <v>264199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679025</v>
      </c>
      <c r="D118" s="24" t="s">
        <v>288</v>
      </c>
      <c r="E118" s="95">
        <f>+('DOE25'!L282)+('DOE25'!L301)+('DOE25'!L320)</f>
        <v>26479</v>
      </c>
      <c r="F118" s="24" t="s">
        <v>288</v>
      </c>
      <c r="G118" s="24" t="s">
        <v>288</v>
      </c>
    </row>
    <row r="119" spans="1:7" x14ac:dyDescent="0.2">
      <c r="A119" t="s">
        <v>208</v>
      </c>
      <c r="B119" s="32" t="s">
        <v>209</v>
      </c>
      <c r="C119" s="95">
        <f>('DOE25'!L204)+('DOE25'!L222)+('DOE25'!L240)</f>
        <v>260779</v>
      </c>
      <c r="D119" s="24" t="s">
        <v>288</v>
      </c>
      <c r="E119" s="95">
        <f>+('DOE25'!L283)+('DOE25'!L302)+('DOE25'!L321)</f>
        <v>12726</v>
      </c>
      <c r="F119" s="24" t="s">
        <v>288</v>
      </c>
      <c r="G119" s="24" t="s">
        <v>288</v>
      </c>
    </row>
    <row r="120" spans="1:7" x14ac:dyDescent="0.2">
      <c r="A120" t="s">
        <v>210</v>
      </c>
      <c r="B120" s="32" t="s">
        <v>211</v>
      </c>
      <c r="C120" s="95">
        <f>('DOE25'!L205)+('DOE25'!L223)+('DOE25'!L241)</f>
        <v>382478</v>
      </c>
      <c r="D120" s="24" t="s">
        <v>288</v>
      </c>
      <c r="E120" s="95">
        <f>+('DOE25'!L284)+('DOE25'!L303)+('DOE25'!L322)</f>
        <v>0</v>
      </c>
      <c r="F120" s="24" t="s">
        <v>288</v>
      </c>
      <c r="G120" s="24" t="s">
        <v>288</v>
      </c>
    </row>
    <row r="121" spans="1:7" x14ac:dyDescent="0.2">
      <c r="A121" t="s">
        <v>212</v>
      </c>
      <c r="B121" s="32" t="s">
        <v>213</v>
      </c>
      <c r="C121" s="95">
        <f>('DOE25'!L206)+('DOE25'!L224)+('DOE25'!L242)</f>
        <v>461497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2931</v>
      </c>
      <c r="F122" s="24" t="s">
        <v>288</v>
      </c>
      <c r="G122" s="24" t="s">
        <v>288</v>
      </c>
    </row>
    <row r="123" spans="1:7" x14ac:dyDescent="0.2">
      <c r="A123" t="s">
        <v>216</v>
      </c>
      <c r="B123" s="32" t="s">
        <v>217</v>
      </c>
      <c r="C123" s="95">
        <f>('DOE25'!L208)+('DOE25'!L226)+('DOE25'!L244)</f>
        <v>613425</v>
      </c>
      <c r="D123" s="24" t="s">
        <v>288</v>
      </c>
      <c r="E123" s="95">
        <f>+('DOE25'!L287)+('DOE25'!L306)+('DOE25'!L325)</f>
        <v>52475</v>
      </c>
      <c r="F123" s="24" t="s">
        <v>288</v>
      </c>
      <c r="G123" s="24" t="s">
        <v>288</v>
      </c>
    </row>
    <row r="124" spans="1:7" x14ac:dyDescent="0.2">
      <c r="A124" t="s">
        <v>218</v>
      </c>
      <c r="B124" s="32" t="s">
        <v>219</v>
      </c>
      <c r="C124" s="95">
        <f>('DOE25'!L209)+('DOE25'!L227)+('DOE25'!L245+'DOE25'!L255)</f>
        <v>780453</v>
      </c>
      <c r="D124" s="24" t="s">
        <v>288</v>
      </c>
      <c r="E124" s="95">
        <f>+('DOE25'!L288)+('DOE25'!L307)+('DOE25'!L326)</f>
        <v>0</v>
      </c>
      <c r="F124" s="24" t="s">
        <v>288</v>
      </c>
      <c r="G124" s="24" t="s">
        <v>288</v>
      </c>
    </row>
    <row r="125" spans="1:7" x14ac:dyDescent="0.2">
      <c r="A125" t="s">
        <v>220</v>
      </c>
      <c r="B125" s="32" t="s">
        <v>221</v>
      </c>
      <c r="C125" s="95">
        <f>('DOE25'!L210)+('DOE25'!L228)+('DOE25'!L246)</f>
        <v>311256</v>
      </c>
      <c r="D125" s="24" t="s">
        <v>288</v>
      </c>
      <c r="E125" s="95">
        <f>+('DOE25'!L289)+('DOE25'!L308)+('DOE25'!L327)</f>
        <v>12383</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180321</v>
      </c>
      <c r="E127" s="24" t="s">
        <v>288</v>
      </c>
      <c r="F127" s="24" t="s">
        <v>288</v>
      </c>
      <c r="G127" s="24" t="s">
        <v>288</v>
      </c>
    </row>
    <row r="128" spans="1:7" ht="12.75" thickTop="1" thickBot="1" x14ac:dyDescent="0.25">
      <c r="A128" s="33" t="s">
        <v>226</v>
      </c>
      <c r="C128" s="86">
        <f>SUM(C118:C127)</f>
        <v>3488913</v>
      </c>
      <c r="D128" s="86">
        <f>SUM(D118:D127)</f>
        <v>180321</v>
      </c>
      <c r="E128" s="86">
        <f>SUM(E118:E127)</f>
        <v>106994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539355</v>
      </c>
      <c r="G130" s="24" t="s">
        <v>288</v>
      </c>
    </row>
    <row r="131" spans="1:7" x14ac:dyDescent="0.2">
      <c r="A131" t="s">
        <v>229</v>
      </c>
      <c r="B131" s="32">
        <v>5110</v>
      </c>
      <c r="C131" s="95">
        <f>'DOE25'!L261</f>
        <v>640000</v>
      </c>
      <c r="D131" s="24" t="s">
        <v>288</v>
      </c>
      <c r="E131" s="129">
        <f>'DOE25'!L342</f>
        <v>0</v>
      </c>
      <c r="F131" s="24" t="s">
        <v>288</v>
      </c>
      <c r="G131" s="24" t="s">
        <v>288</v>
      </c>
    </row>
    <row r="132" spans="1:7" x14ac:dyDescent="0.2">
      <c r="A132" t="s">
        <v>230</v>
      </c>
      <c r="B132" s="32">
        <v>5120</v>
      </c>
      <c r="C132" s="95">
        <f>'DOE25'!L262</f>
        <v>537553</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243.52</v>
      </c>
      <c r="D138" s="24" t="s">
        <v>288</v>
      </c>
      <c r="E138" s="24" t="s">
        <v>288</v>
      </c>
      <c r="F138" s="24" t="s">
        <v>288</v>
      </c>
      <c r="G138" s="24" t="s">
        <v>288</v>
      </c>
    </row>
    <row r="139" spans="1:7" x14ac:dyDescent="0.2">
      <c r="A139" t="s">
        <v>239</v>
      </c>
      <c r="B139" s="32">
        <v>5252</v>
      </c>
      <c r="C139" s="95">
        <f>'DOE25'!L402</f>
        <v>246.62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-490.14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1177553.0000000002</v>
      </c>
      <c r="D144" s="141">
        <f>SUM(D130:D143)</f>
        <v>0</v>
      </c>
      <c r="E144" s="141">
        <f>SUM(E130:E143)</f>
        <v>0</v>
      </c>
      <c r="F144" s="141">
        <f>SUM(F130:F143)</f>
        <v>539355</v>
      </c>
      <c r="G144" s="141">
        <f>SUM(G130:G143)</f>
        <v>0</v>
      </c>
    </row>
    <row r="145" spans="1:9" ht="12.75" thickTop="1" thickBot="1" x14ac:dyDescent="0.25">
      <c r="A145" s="33" t="s">
        <v>244</v>
      </c>
      <c r="C145" s="86">
        <f>(C115+C128+C144)</f>
        <v>14674234</v>
      </c>
      <c r="D145" s="86">
        <f>(D115+D128+D144)</f>
        <v>180321</v>
      </c>
      <c r="E145" s="86">
        <f>(E115+E128+E144)</f>
        <v>371193</v>
      </c>
      <c r="F145" s="86">
        <f>(F115+F128+F144)</f>
        <v>539355</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0</v>
      </c>
      <c r="D151" s="153">
        <f>'DOE25'!H491</f>
        <v>0</v>
      </c>
      <c r="E151" s="153">
        <f>'DOE25'!I491</f>
        <v>0</v>
      </c>
      <c r="F151" s="153">
        <f>'DOE25'!J491</f>
        <v>0</v>
      </c>
      <c r="G151" s="24" t="s">
        <v>288</v>
      </c>
    </row>
    <row r="152" spans="1:9" x14ac:dyDescent="0.2">
      <c r="A152" s="136" t="s">
        <v>28</v>
      </c>
      <c r="B152" s="152" t="str">
        <f>'DOE25'!F492</f>
        <v>6/2018</v>
      </c>
      <c r="C152" s="152">
        <f>'DOE25'!G492</f>
        <v>0</v>
      </c>
      <c r="D152" s="152">
        <f>'DOE25'!H492</f>
        <v>0</v>
      </c>
      <c r="E152" s="152">
        <f>'DOE25'!I492</f>
        <v>0</v>
      </c>
      <c r="F152" s="152">
        <f>'DOE25'!J492</f>
        <v>0</v>
      </c>
      <c r="G152" s="24" t="s">
        <v>288</v>
      </c>
    </row>
    <row r="153" spans="1:9" x14ac:dyDescent="0.2">
      <c r="A153" s="136" t="s">
        <v>29</v>
      </c>
      <c r="B153" s="152" t="str">
        <f>'DOE25'!F493</f>
        <v>8/33</v>
      </c>
      <c r="C153" s="152">
        <f>'DOE25'!G493</f>
        <v>0</v>
      </c>
      <c r="D153" s="152">
        <f>'DOE25'!H493</f>
        <v>0</v>
      </c>
      <c r="E153" s="152">
        <f>'DOE25'!I493</f>
        <v>0</v>
      </c>
      <c r="F153" s="152">
        <f>'DOE25'!J493</f>
        <v>0</v>
      </c>
      <c r="G153" s="24" t="s">
        <v>288</v>
      </c>
    </row>
    <row r="154" spans="1:9" x14ac:dyDescent="0.2">
      <c r="A154" s="136" t="s">
        <v>30</v>
      </c>
      <c r="B154" s="137">
        <f>'DOE25'!F494</f>
        <v>14300000</v>
      </c>
      <c r="C154" s="137">
        <f>'DOE25'!G494</f>
        <v>0</v>
      </c>
      <c r="D154" s="137">
        <f>'DOE25'!H494</f>
        <v>0</v>
      </c>
      <c r="E154" s="137">
        <f>'DOE25'!I494</f>
        <v>0</v>
      </c>
      <c r="F154" s="137">
        <f>'DOE25'!J494</f>
        <v>0</v>
      </c>
      <c r="G154" s="24" t="s">
        <v>288</v>
      </c>
    </row>
    <row r="155" spans="1:9" x14ac:dyDescent="0.2">
      <c r="A155" s="136" t="s">
        <v>31</v>
      </c>
      <c r="B155" s="137">
        <f>'DOE25'!F495</f>
        <v>3</v>
      </c>
      <c r="C155" s="137">
        <f>'DOE25'!G495</f>
        <v>0</v>
      </c>
      <c r="D155" s="137">
        <f>'DOE25'!H495</f>
        <v>0</v>
      </c>
      <c r="E155" s="137">
        <f>'DOE25'!I495</f>
        <v>0</v>
      </c>
      <c r="F155" s="137">
        <f>'DOE25'!J495</f>
        <v>0</v>
      </c>
      <c r="G155" s="24" t="s">
        <v>288</v>
      </c>
    </row>
    <row r="156" spans="1:9" x14ac:dyDescent="0.2">
      <c r="A156" s="22" t="s">
        <v>32</v>
      </c>
      <c r="B156" s="137">
        <f>'DOE25'!F496</f>
        <v>11895000</v>
      </c>
      <c r="C156" s="137">
        <f>'DOE25'!G496</f>
        <v>0</v>
      </c>
      <c r="D156" s="137">
        <f>'DOE25'!H496</f>
        <v>0</v>
      </c>
      <c r="E156" s="137">
        <f>'DOE25'!I496</f>
        <v>0</v>
      </c>
      <c r="F156" s="137">
        <f>'DOE25'!J496</f>
        <v>0</v>
      </c>
      <c r="G156" s="138">
        <f>SUM(B156:F156)</f>
        <v>11895000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11895000</v>
      </c>
      <c r="C159" s="137">
        <f>'DOE25'!G499</f>
        <v>0</v>
      </c>
      <c r="D159" s="137">
        <f>'DOE25'!H499</f>
        <v>0</v>
      </c>
      <c r="E159" s="137">
        <f>'DOE25'!I499</f>
        <v>0</v>
      </c>
      <c r="F159" s="137">
        <f>'DOE25'!J499</f>
        <v>0</v>
      </c>
      <c r="G159" s="138">
        <f t="shared" si="0"/>
        <v>11895000</v>
      </c>
    </row>
    <row r="160" spans="1:9" x14ac:dyDescent="0.2">
      <c r="A160" s="22" t="s">
        <v>36</v>
      </c>
      <c r="B160" s="137">
        <f>'DOE25'!F500</f>
        <v>3393256.25</v>
      </c>
      <c r="C160" s="137">
        <f>'DOE25'!G500</f>
        <v>0</v>
      </c>
      <c r="D160" s="137">
        <f>'DOE25'!H500</f>
        <v>0</v>
      </c>
      <c r="E160" s="137">
        <f>'DOE25'!I500</f>
        <v>0</v>
      </c>
      <c r="F160" s="137">
        <f>'DOE25'!J500</f>
        <v>0</v>
      </c>
      <c r="G160" s="138">
        <f t="shared" si="0"/>
        <v>3393256.25</v>
      </c>
    </row>
    <row r="161" spans="1:7" x14ac:dyDescent="0.2">
      <c r="A161" s="22" t="s">
        <v>37</v>
      </c>
      <c r="B161" s="137">
        <f>'DOE25'!F501</f>
        <v>15288256.25</v>
      </c>
      <c r="C161" s="137">
        <f>'DOE25'!G501</f>
        <v>0</v>
      </c>
      <c r="D161" s="137">
        <f>'DOE25'!H501</f>
        <v>0</v>
      </c>
      <c r="E161" s="137">
        <f>'DOE25'!I501</f>
        <v>0</v>
      </c>
      <c r="F161" s="137">
        <f>'DOE25'!J501</f>
        <v>0</v>
      </c>
      <c r="G161" s="138">
        <f t="shared" si="0"/>
        <v>15288256.25</v>
      </c>
    </row>
    <row r="162" spans="1:7" x14ac:dyDescent="0.2">
      <c r="A162" s="22" t="s">
        <v>38</v>
      </c>
      <c r="B162" s="137">
        <f>'DOE25'!F502</f>
        <v>670000</v>
      </c>
      <c r="C162" s="137">
        <f>'DOE25'!G502</f>
        <v>0</v>
      </c>
      <c r="D162" s="137">
        <f>'DOE25'!H502</f>
        <v>0</v>
      </c>
      <c r="E162" s="137">
        <f>'DOE25'!I502</f>
        <v>0</v>
      </c>
      <c r="F162" s="137">
        <f>'DOE25'!J502</f>
        <v>0</v>
      </c>
      <c r="G162" s="138">
        <f t="shared" si="0"/>
        <v>670000</v>
      </c>
    </row>
    <row r="163" spans="1:7" x14ac:dyDescent="0.2">
      <c r="A163" s="22" t="s">
        <v>39</v>
      </c>
      <c r="B163" s="137">
        <f>'DOE25'!F503</f>
        <v>504147.5</v>
      </c>
      <c r="C163" s="137">
        <f>'DOE25'!G503</f>
        <v>0</v>
      </c>
      <c r="D163" s="137">
        <f>'DOE25'!H503</f>
        <v>0</v>
      </c>
      <c r="E163" s="137">
        <f>'DOE25'!I503</f>
        <v>0</v>
      </c>
      <c r="F163" s="137">
        <f>'DOE25'!J503</f>
        <v>0</v>
      </c>
      <c r="G163" s="138">
        <f t="shared" si="0"/>
        <v>504147.5</v>
      </c>
    </row>
    <row r="164" spans="1:7" x14ac:dyDescent="0.2">
      <c r="A164" s="22" t="s">
        <v>246</v>
      </c>
      <c r="B164" s="137">
        <f>'DOE25'!F504</f>
        <v>1174147.5</v>
      </c>
      <c r="C164" s="137">
        <f>'DOE25'!G504</f>
        <v>0</v>
      </c>
      <c r="D164" s="137">
        <f>'DOE25'!H504</f>
        <v>0</v>
      </c>
      <c r="E164" s="137">
        <f>'DOE25'!I504</f>
        <v>0</v>
      </c>
      <c r="F164" s="137">
        <f>'DOE25'!J504</f>
        <v>0</v>
      </c>
      <c r="G164" s="138">
        <f t="shared" si="0"/>
        <v>1174147.5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E23" sqref="E2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Auburn School District</v>
      </c>
    </row>
    <row r="3" spans="1:4" x14ac:dyDescent="0.2">
      <c r="B3" s="188" t="s">
        <v>1666</v>
      </c>
    </row>
    <row r="4" spans="1:4" x14ac:dyDescent="0.2">
      <c r="B4" t="s">
        <v>61</v>
      </c>
      <c r="C4" s="179">
        <f>IF('DOE25'!F666+'DOE25'!F671=0,0,ROUND('DOE25'!F673,0))</f>
        <v>13801</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13801</v>
      </c>
    </row>
    <row r="9" spans="1:4" x14ac:dyDescent="0.2">
      <c r="A9" s="187" t="s">
        <v>94</v>
      </c>
      <c r="B9" s="188" t="s">
        <v>1671</v>
      </c>
      <c r="C9" s="181" t="s">
        <v>720</v>
      </c>
      <c r="D9" s="181" t="s">
        <v>721</v>
      </c>
    </row>
    <row r="10" spans="1:4" x14ac:dyDescent="0.2">
      <c r="A10">
        <v>1100</v>
      </c>
      <c r="B10" t="s">
        <v>702</v>
      </c>
      <c r="C10" s="179">
        <f>ROUND('DOE25'!L198+'DOE25'!L216+'DOE25'!L234+'DOE25'!L277+'DOE25'!L296+'DOE25'!L315,0)</f>
        <v>7610483</v>
      </c>
      <c r="D10" s="182">
        <f>ROUND((C10/$C$28)*100,1)</f>
        <v>52.2</v>
      </c>
    </row>
    <row r="11" spans="1:4" x14ac:dyDescent="0.2">
      <c r="A11">
        <v>1200</v>
      </c>
      <c r="B11" t="s">
        <v>703</v>
      </c>
      <c r="C11" s="179">
        <f>ROUND('DOE25'!L199+'DOE25'!L217+'DOE25'!L235+'DOE25'!L278+'DOE25'!L297+'DOE25'!L316,0)</f>
        <v>2616195</v>
      </c>
      <c r="D11" s="182">
        <f>ROUND((C11/$C$28)*100,1)</f>
        <v>18</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45289</v>
      </c>
      <c r="D13" s="182">
        <f>ROUND((C13/$C$28)*100,1)</f>
        <v>0.3</v>
      </c>
    </row>
    <row r="14" spans="1:4" x14ac:dyDescent="0.2">
      <c r="D14" s="182"/>
    </row>
    <row r="15" spans="1:4" x14ac:dyDescent="0.2">
      <c r="A15">
        <v>2100</v>
      </c>
      <c r="B15" t="s">
        <v>706</v>
      </c>
      <c r="C15" s="179">
        <f>ROUND('DOE25'!L203+'DOE25'!L221+'DOE25'!L239+'DOE25'!L282+'DOE25'!L301+'DOE25'!L320,0)</f>
        <v>705504</v>
      </c>
      <c r="D15" s="182">
        <f t="shared" ref="D15:D27" si="0">ROUND((C15/$C$28)*100,1)</f>
        <v>4.8</v>
      </c>
    </row>
    <row r="16" spans="1:4" x14ac:dyDescent="0.2">
      <c r="A16">
        <v>2200</v>
      </c>
      <c r="B16" t="s">
        <v>707</v>
      </c>
      <c r="C16" s="179">
        <f>ROUND('DOE25'!L204+'DOE25'!L222+'DOE25'!L240+'DOE25'!L283+'DOE25'!L302+'DOE25'!L321,0)</f>
        <v>273505</v>
      </c>
      <c r="D16" s="182">
        <f t="shared" si="0"/>
        <v>1.9</v>
      </c>
    </row>
    <row r="17" spans="1:4" x14ac:dyDescent="0.2">
      <c r="A17" s="183" t="s">
        <v>723</v>
      </c>
      <c r="B17" t="s">
        <v>738</v>
      </c>
      <c r="C17" s="179">
        <f>ROUND('DOE25'!L205+'DOE25'!L210+'DOE25'!L223+'DOE25'!L228+'DOE25'!L241+'DOE25'!L246+'DOE25'!L284+'DOE25'!L289+'DOE25'!L303+'DOE25'!L308+'DOE25'!L322+'DOE25'!L327,0)</f>
        <v>706117</v>
      </c>
      <c r="D17" s="182">
        <f t="shared" si="0"/>
        <v>4.8</v>
      </c>
    </row>
    <row r="18" spans="1:4" x14ac:dyDescent="0.2">
      <c r="A18">
        <v>2400</v>
      </c>
      <c r="B18" t="s">
        <v>711</v>
      </c>
      <c r="C18" s="179">
        <f>ROUND('DOE25'!L206+'DOE25'!L224+'DOE25'!L242+'DOE25'!L285+'DOE25'!L304+'DOE25'!L323,0)</f>
        <v>461497</v>
      </c>
      <c r="D18" s="182">
        <f t="shared" si="0"/>
        <v>3.2</v>
      </c>
    </row>
    <row r="19" spans="1:4" x14ac:dyDescent="0.2">
      <c r="A19">
        <v>2500</v>
      </c>
      <c r="B19" t="s">
        <v>708</v>
      </c>
      <c r="C19" s="179">
        <f>ROUND('DOE25'!L207+'DOE25'!L225+'DOE25'!L243+'DOE25'!L286+'DOE25'!L305+'DOE25'!L324,0)</f>
        <v>2931</v>
      </c>
      <c r="D19" s="182">
        <f t="shared" si="0"/>
        <v>0</v>
      </c>
    </row>
    <row r="20" spans="1:4" x14ac:dyDescent="0.2">
      <c r="A20">
        <v>2600</v>
      </c>
      <c r="B20" t="s">
        <v>709</v>
      </c>
      <c r="C20" s="179">
        <f>ROUND('DOE25'!L208+'DOE25'!L226+'DOE25'!L244+'DOE25'!L287+'DOE25'!L306+'DOE25'!L325,0)</f>
        <v>665900</v>
      </c>
      <c r="D20" s="182">
        <f t="shared" si="0"/>
        <v>4.5999999999999996</v>
      </c>
    </row>
    <row r="21" spans="1:4" x14ac:dyDescent="0.2">
      <c r="A21">
        <v>2700</v>
      </c>
      <c r="B21" t="s">
        <v>710</v>
      </c>
      <c r="C21" s="179">
        <f>ROUND('DOE25'!L209+'DOE25'!L227+'DOE25'!L245+'DOE25'!L288+'DOE25'!L307+'DOE25'!L326,0)</f>
        <v>780453</v>
      </c>
      <c r="D21" s="182">
        <f t="shared" si="0"/>
        <v>5.4</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537553</v>
      </c>
      <c r="D25" s="182">
        <f t="shared" si="0"/>
        <v>3.7</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165073</v>
      </c>
      <c r="D27" s="182">
        <f t="shared" si="0"/>
        <v>1.1000000000000001</v>
      </c>
    </row>
    <row r="28" spans="1:4" x14ac:dyDescent="0.2">
      <c r="B28" s="187" t="s">
        <v>719</v>
      </c>
      <c r="C28" s="180">
        <f>SUM(C10:C27)</f>
        <v>14570500</v>
      </c>
      <c r="D28" s="184">
        <f>ROUND(SUM(D10:D27),0)</f>
        <v>100</v>
      </c>
    </row>
    <row r="29" spans="1:4" x14ac:dyDescent="0.2">
      <c r="A29">
        <v>4000</v>
      </c>
      <c r="B29" t="s">
        <v>724</v>
      </c>
      <c r="C29" s="179">
        <f>ROUND('DOE25'!L256+'DOE25'!L337+'DOE25'!L375+'DOE25'!L376+'DOE25'!L377+'DOE25'!L378+'DOE25'!L379+'DOE25'!L380+'DOE25'!L381,0)</f>
        <v>539355</v>
      </c>
    </row>
    <row r="30" spans="1:4" x14ac:dyDescent="0.2">
      <c r="B30" s="187" t="s">
        <v>725</v>
      </c>
      <c r="C30" s="180">
        <f>SUM(C28:C29)</f>
        <v>15109855</v>
      </c>
    </row>
    <row r="31" spans="1:4" x14ac:dyDescent="0.2">
      <c r="B31" s="33"/>
      <c r="C31" s="180"/>
    </row>
    <row r="32" spans="1:4" x14ac:dyDescent="0.2">
      <c r="A32">
        <v>5100</v>
      </c>
      <c r="B32" s="33" t="s">
        <v>726</v>
      </c>
      <c r="C32" s="180">
        <f>ROUND('DOE25'!L261+'DOE25'!L342,0)</f>
        <v>640000</v>
      </c>
    </row>
    <row r="34" spans="1:4" x14ac:dyDescent="0.2">
      <c r="A34" s="187" t="s">
        <v>94</v>
      </c>
      <c r="B34" s="188" t="s">
        <v>1667</v>
      </c>
      <c r="C34" s="181" t="s">
        <v>720</v>
      </c>
      <c r="D34" s="181" t="s">
        <v>721</v>
      </c>
    </row>
    <row r="35" spans="1:4" x14ac:dyDescent="0.2">
      <c r="A35">
        <v>1100</v>
      </c>
      <c r="B35" s="185" t="s">
        <v>727</v>
      </c>
      <c r="C35" s="179">
        <f>ROUND('DOE25'!F60+'DOE25'!G60+'DOE25'!H60+'DOE25'!I60+'DOE25'!J60,0)</f>
        <v>10880863</v>
      </c>
      <c r="D35" s="182">
        <f t="shared" ref="D35:D40" si="1">ROUND((C35/$C$41)*100,1)</f>
        <v>69.3</v>
      </c>
    </row>
    <row r="36" spans="1:4" x14ac:dyDescent="0.2">
      <c r="B36" s="185" t="s">
        <v>739</v>
      </c>
      <c r="C36" s="179">
        <f>SUM('DOE25'!F112:J112)-SUM('DOE25'!G97:G110)+('DOE25'!F175+'DOE25'!F176+'DOE25'!I175+'DOE25'!I176)-C35</f>
        <v>19879.140000000596</v>
      </c>
      <c r="D36" s="182">
        <f t="shared" si="1"/>
        <v>0.1</v>
      </c>
    </row>
    <row r="37" spans="1:4" x14ac:dyDescent="0.2">
      <c r="A37" s="183" t="s">
        <v>835</v>
      </c>
      <c r="B37" s="185" t="s">
        <v>728</v>
      </c>
      <c r="C37" s="179">
        <f>ROUND('DOE25'!F117+'DOE25'!F118,0)</f>
        <v>4018198</v>
      </c>
      <c r="D37" s="182">
        <f t="shared" si="1"/>
        <v>25.6</v>
      </c>
    </row>
    <row r="38" spans="1:4" x14ac:dyDescent="0.2">
      <c r="A38" s="183" t="s">
        <v>734</v>
      </c>
      <c r="B38" s="185" t="s">
        <v>729</v>
      </c>
      <c r="C38" s="179">
        <f>ROUND(SUM('DOE25'!F140:J140)-SUM('DOE25'!F117:F119),0)</f>
        <v>214281</v>
      </c>
      <c r="D38" s="182">
        <f t="shared" si="1"/>
        <v>1.4</v>
      </c>
    </row>
    <row r="39" spans="1:4" x14ac:dyDescent="0.2">
      <c r="A39">
        <v>4000</v>
      </c>
      <c r="B39" s="185" t="s">
        <v>730</v>
      </c>
      <c r="C39" s="179">
        <f>ROUND('DOE25'!F170+'DOE25'!G170+'DOE25'!H170+'DOE25'!I170,0)</f>
        <v>568635</v>
      </c>
      <c r="D39" s="182">
        <f t="shared" si="1"/>
        <v>3.6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15701856.140000001</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E23" sqref="E23"/>
      <selection pane="bottomLeft" activeCell="A6" sqref="A6"/>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Auburn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v>2</v>
      </c>
      <c r="B5" s="219">
        <v>10</v>
      </c>
      <c r="C5" s="375" t="s">
        <v>1676</v>
      </c>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6640625" bestFit="1" customWidth="1"/>
    <col min="9" max="9" width="43.33203125" bestFit="1" customWidth="1"/>
    <col min="11" max="11" width="13.6640625" customWidth="1"/>
    <col min="14" max="14" width="41.66406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2021-09-23T14:12:38Z</cp:lastPrinted>
  <dcterms:created xsi:type="dcterms:W3CDTF">1997-12-04T19:04:30Z</dcterms:created>
  <dcterms:modified xsi:type="dcterms:W3CDTF">2021-12-03T17:35:06Z</dcterms:modified>
</cp:coreProperties>
</file>