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000" tabRatio="773" activeTab="5"/>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E30" i="17" l="1"/>
  <c r="E28" i="17"/>
  <c r="E24" i="17"/>
  <c r="E22" i="17"/>
  <c r="E26" i="17" l="1"/>
  <c r="H155" i="1"/>
  <c r="B19" i="12" l="1"/>
  <c r="C19" i="12"/>
  <c r="C20" i="12"/>
  <c r="B20" i="12"/>
  <c r="C10" i="12"/>
  <c r="B10" i="12"/>
  <c r="C11" i="12"/>
  <c r="B11" i="12"/>
  <c r="B12" i="12"/>
  <c r="D40" i="14" l="1"/>
  <c r="D38" i="14"/>
  <c r="D37" i="14"/>
  <c r="D39" i="14"/>
  <c r="G132" i="1" l="1"/>
  <c r="G158" i="1"/>
  <c r="G469" i="1"/>
  <c r="H528" i="1"/>
  <c r="G528" i="1"/>
  <c r="F528" i="1"/>
  <c r="G527" i="1"/>
  <c r="F527" i="1"/>
  <c r="H527" i="1"/>
  <c r="G523" i="1"/>
  <c r="F523" i="1"/>
  <c r="G522" i="1"/>
  <c r="F522" i="1"/>
  <c r="H524" i="1"/>
  <c r="K528" i="1"/>
  <c r="I528" i="1"/>
  <c r="I523" i="1"/>
  <c r="H523" i="1"/>
  <c r="H544" i="1"/>
  <c r="H543" i="1"/>
  <c r="H542" i="1"/>
  <c r="K527" i="1"/>
  <c r="J522" i="1"/>
  <c r="I522" i="1"/>
  <c r="H522" i="1"/>
  <c r="H234" i="1"/>
  <c r="F473" i="1"/>
  <c r="F469" i="1"/>
  <c r="H256" i="1"/>
  <c r="F186" i="1"/>
  <c r="F29" i="1" l="1"/>
  <c r="I605" i="1" l="1"/>
  <c r="H605" i="1"/>
  <c r="H592" i="1"/>
  <c r="H380" i="1"/>
  <c r="J380" i="1"/>
  <c r="I198" i="1"/>
  <c r="I216" i="1"/>
  <c r="G226" i="1"/>
  <c r="K224" i="1"/>
  <c r="J224" i="1"/>
  <c r="I224" i="1"/>
  <c r="H224" i="1"/>
  <c r="G224" i="1"/>
  <c r="F224" i="1"/>
  <c r="K222" i="1"/>
  <c r="J222" i="1"/>
  <c r="I222" i="1"/>
  <c r="H222" i="1"/>
  <c r="G222" i="1"/>
  <c r="F222" i="1"/>
  <c r="K221" i="1"/>
  <c r="G221" i="1"/>
  <c r="F221" i="1"/>
  <c r="H221" i="1"/>
  <c r="I221" i="1"/>
  <c r="H219" i="1"/>
  <c r="G219" i="1"/>
  <c r="F219" i="1"/>
  <c r="I217" i="1"/>
  <c r="H217" i="1"/>
  <c r="G217" i="1"/>
  <c r="F217" i="1"/>
  <c r="K216" i="1"/>
  <c r="J216" i="1"/>
  <c r="H216" i="1"/>
  <c r="G216" i="1"/>
  <c r="F216" i="1"/>
  <c r="H235" i="1" l="1"/>
  <c r="H245" i="1"/>
  <c r="H227" i="1"/>
  <c r="H226" i="1"/>
  <c r="H208" i="1"/>
  <c r="I208" i="1"/>
  <c r="I226" i="1"/>
  <c r="F226" i="1"/>
  <c r="H209" i="1"/>
  <c r="J208" i="1"/>
  <c r="G208" i="1"/>
  <c r="F208" i="1"/>
  <c r="I243" i="1"/>
  <c r="H243" i="1"/>
  <c r="G243" i="1"/>
  <c r="F243" i="1"/>
  <c r="I225" i="1"/>
  <c r="H225" i="1"/>
  <c r="G225" i="1"/>
  <c r="F225" i="1"/>
  <c r="I207" i="1"/>
  <c r="H207" i="1"/>
  <c r="G207" i="1"/>
  <c r="F207" i="1"/>
  <c r="K206" i="1"/>
  <c r="J206" i="1"/>
  <c r="I206" i="1"/>
  <c r="H206" i="1"/>
  <c r="G206" i="1"/>
  <c r="F206" i="1"/>
  <c r="K241" i="1"/>
  <c r="J241" i="1"/>
  <c r="I241" i="1"/>
  <c r="H241" i="1"/>
  <c r="G241" i="1"/>
  <c r="F241" i="1"/>
  <c r="K223" i="1"/>
  <c r="J223" i="1"/>
  <c r="I223" i="1"/>
  <c r="H223" i="1"/>
  <c r="G223" i="1"/>
  <c r="F223" i="1"/>
  <c r="K205" i="1"/>
  <c r="J205" i="1"/>
  <c r="I205" i="1"/>
  <c r="H205" i="1"/>
  <c r="G205" i="1"/>
  <c r="F205" i="1"/>
  <c r="K204" i="1"/>
  <c r="J204" i="1"/>
  <c r="I204" i="1"/>
  <c r="H204" i="1"/>
  <c r="G204" i="1"/>
  <c r="F204" i="1"/>
  <c r="K203" i="1"/>
  <c r="G203" i="1"/>
  <c r="F203" i="1"/>
  <c r="I203" i="1"/>
  <c r="H203" i="1"/>
  <c r="F199" i="1"/>
  <c r="J199" i="1"/>
  <c r="I199" i="1"/>
  <c r="H199" i="1"/>
  <c r="G199" i="1"/>
  <c r="J198" i="1"/>
  <c r="H198" i="1"/>
  <c r="G198" i="1"/>
  <c r="F198" i="1"/>
  <c r="G97" i="1"/>
  <c r="G277" i="1"/>
  <c r="G301" i="1"/>
  <c r="J296" i="1"/>
  <c r="I296" i="1"/>
  <c r="H296" i="1"/>
  <c r="G296" i="1"/>
  <c r="F296" i="1"/>
  <c r="H283" i="1"/>
  <c r="I277" i="1"/>
  <c r="H277" i="1"/>
  <c r="F277" i="1"/>
  <c r="G297" i="1"/>
  <c r="G278" i="1"/>
  <c r="F297" i="1"/>
  <c r="F278" i="1"/>
  <c r="J277" i="1"/>
  <c r="H301" i="1"/>
  <c r="H282" i="1"/>
  <c r="H302" i="1"/>
  <c r="F302" i="1"/>
  <c r="G302" i="1"/>
  <c r="G283" i="1"/>
  <c r="F283" i="1"/>
  <c r="F301" i="1"/>
  <c r="G282" i="1"/>
  <c r="F282" i="1"/>
  <c r="H593" i="1" l="1"/>
  <c r="H576" i="1"/>
  <c r="H578" i="1"/>
  <c r="H159" i="1"/>
  <c r="H154" i="1"/>
  <c r="I306" i="1"/>
  <c r="I287" i="1"/>
  <c r="H360" i="1"/>
  <c r="H359" i="1"/>
  <c r="G473" i="1"/>
  <c r="J473" i="1"/>
  <c r="J469" i="1"/>
  <c r="G653" i="1" l="1"/>
  <c r="E7" i="17" l="1"/>
  <c r="E43" i="14" l="1"/>
  <c r="D43" i="14"/>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C112" i="2" s="1"/>
  <c r="L234" i="1"/>
  <c r="L235" i="1"/>
  <c r="C110" i="2" s="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G663" i="1" s="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E110" i="2" s="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J111" i="1"/>
  <c r="J112" i="1" s="1"/>
  <c r="F121" i="1"/>
  <c r="F136" i="1"/>
  <c r="G121" i="1"/>
  <c r="G136" i="1"/>
  <c r="H121" i="1"/>
  <c r="H136" i="1"/>
  <c r="I121" i="1"/>
  <c r="I136" i="1"/>
  <c r="J121" i="1"/>
  <c r="J136" i="1"/>
  <c r="J140" i="1" s="1"/>
  <c r="F147" i="1"/>
  <c r="F170" i="1" s="1"/>
  <c r="G147" i="1"/>
  <c r="H147" i="1"/>
  <c r="H170" i="1" s="1"/>
  <c r="I147" i="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E112" i="2"/>
  <c r="D115" i="2"/>
  <c r="F115" i="2"/>
  <c r="G115" i="2"/>
  <c r="E120" i="2"/>
  <c r="E121" i="2"/>
  <c r="E124" i="2"/>
  <c r="C125" i="2"/>
  <c r="E125" i="2"/>
  <c r="F128" i="2"/>
  <c r="G128" i="2"/>
  <c r="D134" i="2"/>
  <c r="D144" i="2" s="1"/>
  <c r="E134" i="2"/>
  <c r="F134" i="2"/>
  <c r="K420" i="1"/>
  <c r="K428" i="1"/>
  <c r="K434" i="1"/>
  <c r="L264" i="1"/>
  <c r="C135" i="2" s="1"/>
  <c r="L265" i="1"/>
  <c r="C136" i="2" s="1"/>
  <c r="L266" i="1"/>
  <c r="C137" i="2" s="1"/>
  <c r="E137"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K353" i="1" s="1"/>
  <c r="F363" i="1"/>
  <c r="G363" i="1"/>
  <c r="H363" i="1"/>
  <c r="I363" i="1"/>
  <c r="G635" i="1" s="1"/>
  <c r="J363" i="1"/>
  <c r="K363" i="1"/>
  <c r="I369" i="1"/>
  <c r="F370" i="1"/>
  <c r="G370" i="1"/>
  <c r="H370" i="1"/>
  <c r="L382" i="1"/>
  <c r="F383" i="1"/>
  <c r="G383" i="1"/>
  <c r="H383" i="1"/>
  <c r="I383" i="1"/>
  <c r="J383" i="1"/>
  <c r="K383" i="1"/>
  <c r="F394" i="1"/>
  <c r="F409" i="1" s="1"/>
  <c r="H644" i="1" s="1"/>
  <c r="G394" i="1"/>
  <c r="H394" i="1"/>
  <c r="I394" i="1"/>
  <c r="I409" i="1" s="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G477" i="1" s="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4" i="1"/>
  <c r="G645" i="1"/>
  <c r="G652" i="1"/>
  <c r="H653" i="1"/>
  <c r="G654" i="1"/>
  <c r="H654" i="1"/>
  <c r="G655" i="1"/>
  <c r="H655" i="1"/>
  <c r="H656" i="1"/>
  <c r="J656" i="1" s="1"/>
  <c r="G62" i="2"/>
  <c r="I170" i="1"/>
  <c r="G553" i="1" l="1"/>
  <c r="C121" i="2"/>
  <c r="C119" i="2"/>
  <c r="C13" i="10"/>
  <c r="A40" i="12"/>
  <c r="C12" i="10"/>
  <c r="G651" i="1"/>
  <c r="C120" i="2"/>
  <c r="J258" i="1"/>
  <c r="J652" i="1"/>
  <c r="H477" i="1"/>
  <c r="H625" i="1" s="1"/>
  <c r="G339" i="1"/>
  <c r="G353" i="1" s="1"/>
  <c r="G662" i="1"/>
  <c r="H409" i="1"/>
  <c r="H645" i="1" s="1"/>
  <c r="H140" i="1"/>
  <c r="E13" i="13"/>
  <c r="C13" i="13" s="1"/>
  <c r="E123" i="2"/>
  <c r="D15" i="13"/>
  <c r="C15" i="13" s="1"/>
  <c r="G646" i="1"/>
  <c r="J572" i="1"/>
  <c r="G409" i="1"/>
  <c r="H646" i="1" s="1"/>
  <c r="J646" i="1" s="1"/>
  <c r="I112" i="1"/>
  <c r="E119" i="2"/>
  <c r="D6" i="13"/>
  <c r="C6" i="13" s="1"/>
  <c r="E131" i="2"/>
  <c r="H663" i="1"/>
  <c r="F258" i="1"/>
  <c r="F272" i="1" s="1"/>
  <c r="C20" i="10"/>
  <c r="I370" i="1"/>
  <c r="H635" i="1" s="1"/>
  <c r="L257" i="1"/>
  <c r="H193" i="1"/>
  <c r="C11" i="10"/>
  <c r="A31" i="12"/>
  <c r="E114" i="2"/>
  <c r="E85" i="2"/>
  <c r="E91" i="2" s="1"/>
  <c r="H112" i="1"/>
  <c r="L402" i="1"/>
  <c r="C139" i="2" s="1"/>
  <c r="C91" i="2"/>
  <c r="H462" i="1"/>
  <c r="H642" i="1" s="1"/>
  <c r="J642" i="1" s="1"/>
  <c r="F339" i="1"/>
  <c r="F353" i="1" s="1"/>
  <c r="L561" i="1"/>
  <c r="J625"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L363" i="1"/>
  <c r="B17" i="16" s="1"/>
  <c r="B19" i="16" s="1"/>
  <c r="B28" i="16"/>
  <c r="L329" i="1"/>
  <c r="E122" i="2"/>
  <c r="L291" i="1"/>
  <c r="H624" i="1"/>
  <c r="J624" i="1" s="1"/>
  <c r="B33" i="16"/>
  <c r="L615" i="1"/>
  <c r="K599" i="1"/>
  <c r="G648" i="1" s="1"/>
  <c r="K572" i="1"/>
  <c r="L571" i="1"/>
  <c r="H572" i="1"/>
  <c r="L566" i="1"/>
  <c r="I572" i="1"/>
  <c r="K546" i="1"/>
  <c r="H52" i="1"/>
  <c r="H620" i="1" s="1"/>
  <c r="C114" i="2"/>
  <c r="G112" i="1"/>
  <c r="B10" i="16" s="1"/>
  <c r="E118" i="2"/>
  <c r="L248" i="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E115" i="2" s="1"/>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E51" i="2" s="1"/>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J653" i="1"/>
  <c r="G572" i="1"/>
  <c r="I435" i="1"/>
  <c r="G435" i="1"/>
  <c r="I664" i="1"/>
  <c r="F194" i="1" l="1"/>
  <c r="G24" i="14"/>
  <c r="H24" i="14" s="1"/>
  <c r="I24" i="14" s="1"/>
  <c r="E128" i="2"/>
  <c r="F661" i="1"/>
  <c r="F665" i="1" s="1"/>
  <c r="F668" i="1" s="1"/>
  <c r="H661" i="1"/>
  <c r="H665" i="1" s="1"/>
  <c r="H668" i="1" s="1"/>
  <c r="C81" i="2"/>
  <c r="H649" i="1"/>
  <c r="J649" i="1" s="1"/>
  <c r="L572" i="1"/>
  <c r="H194" i="1"/>
  <c r="G630" i="1" s="1"/>
  <c r="J630" i="1" s="1"/>
  <c r="C141" i="2"/>
  <c r="C144" i="2" s="1"/>
  <c r="F51" i="2"/>
  <c r="G36" i="14"/>
  <c r="H36" i="14" s="1"/>
  <c r="I36" i="14" s="1"/>
  <c r="E145" i="2"/>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G628" i="1"/>
  <c r="J628" i="1"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H657" i="1"/>
  <c r="C41" i="10"/>
  <c r="D38" i="10" s="1"/>
  <c r="I668" i="1" l="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rgb="FF000000"/>
            <rFont val="Tahoma"/>
            <family val="2"/>
          </rPr>
          <t xml:space="preserve">Only report the amount raise locally to support education.  Do not report the amount raise from the Statewide Property Tax.  That amount should be reported on  Page 4.
</t>
        </r>
        <r>
          <rPr>
            <sz val="8"/>
            <color rgb="FF000000"/>
            <rFont val="Tahoma"/>
            <family val="2"/>
          </rPr>
          <t xml:space="preserve">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rgb="FF000000"/>
            <rFont val="Tahoma"/>
            <family val="2"/>
          </rPr>
          <t xml:space="preserve">Only report that amount raise from the Statewide Property  Tax.
</t>
        </r>
        <r>
          <rPr>
            <sz val="8"/>
            <color rgb="FF000000"/>
            <rFont val="Tahoma"/>
            <family val="2"/>
          </rPr>
          <t xml:space="preserve">
</t>
        </r>
      </text>
    </comment>
    <comment ref="G132" authorId="0" shapeId="0">
      <text>
        <r>
          <rPr>
            <sz val="8"/>
            <color rgb="FF000000"/>
            <rFont val="Tahoma"/>
            <family val="2"/>
          </rPr>
          <t xml:space="preserve">Only report the state’s share of the revenue on this page.  Do not lump sum the state and federal revenues.
</t>
        </r>
        <r>
          <rPr>
            <sz val="8"/>
            <color rgb="FF000000"/>
            <rFont val="Tahoma"/>
            <family val="2"/>
          </rPr>
          <t xml:space="preserve">
</t>
        </r>
      </text>
    </comment>
    <comment ref="G158" authorId="0" shapeId="0">
      <text>
        <r>
          <rPr>
            <sz val="8"/>
            <color rgb="FF000000"/>
            <rFont val="Tahoma"/>
            <family val="2"/>
          </rPr>
          <t xml:space="preserve">Only report the federal share of the revenue on this page.  Do not lump sum the 
</t>
        </r>
        <r>
          <rPr>
            <sz val="8"/>
            <color rgb="FF000000"/>
            <rFont val="Tahoma"/>
            <family val="2"/>
          </rPr>
          <t xml:space="preserve"> federal and state revenues. 
</t>
        </r>
        <r>
          <rPr>
            <sz val="8"/>
            <color rgb="FF000000"/>
            <rFont val="Tahoma"/>
            <family val="2"/>
          </rPr>
          <t xml:space="preserve">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rgb="FF000000"/>
            <rFont val="Tahoma"/>
            <family val="2"/>
          </rPr>
          <t xml:space="preserve">The total reported here must agree with the total reported on Pages 10 and 14  minus Function 4000 (Facilities Acquisition) for 
</t>
        </r>
        <r>
          <rPr>
            <sz val="8"/>
            <color rgb="FF000000"/>
            <rFont val="Tahoma"/>
            <family val="2"/>
          </rPr>
          <t xml:space="preserve"> property.
</t>
        </r>
        <r>
          <rPr>
            <sz val="8"/>
            <color rgb="FF000000"/>
            <rFont val="Tahoma"/>
            <family val="2"/>
          </rPr>
          <t xml:space="preserve">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<sst xmlns="http://schemas.openxmlformats.org/spreadsheetml/2006/main" count="5589" uniqueCount="1675">
  <si>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</si>
  <si>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</si>
  <si>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</si>
  <si>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</si>
  <si>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</si>
  <si>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</si>
  <si>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</si>
  <si>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</si>
  <si>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</si>
  <si>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</si>
  <si>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</si>
  <si>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</si>
  <si>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</si>
  <si>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</si>
  <si>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</si>
  <si>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</si>
  <si>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</si>
  <si>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</si>
  <si>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</si>
  <si>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</si>
  <si>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</si>
  <si>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</si>
  <si>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</si>
  <si>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</si>
  <si>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</si>
  <si>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</si>
  <si>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</si>
  <si>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</si>
  <si>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</si>
  <si>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</si>
  <si>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</si>
  <si>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</si>
  <si>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</si>
  <si>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</si>
  <si>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</si>
  <si>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</si>
  <si>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</si>
  <si>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</si>
  <si>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</si>
  <si>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</si>
  <si>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</si>
  <si>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</si>
  <si>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</si>
  <si>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</si>
  <si>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</si>
  <si>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</si>
  <si>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</si>
  <si>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</si>
  <si>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</si>
  <si>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</si>
  <si>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</si>
  <si>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</si>
  <si>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</si>
  <si>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</si>
  <si>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</si>
  <si>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</si>
  <si>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</si>
  <si>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</si>
  <si>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</si>
  <si>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</si>
  <si>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</si>
  <si>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</si>
  <si>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</si>
  <si>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</si>
  <si>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</si>
  <si>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</si>
  <si>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</si>
  <si>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</si>
  <si>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</si>
  <si>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</si>
  <si>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</si>
  <si>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</si>
  <si>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</si>
  <si>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</si>
  <si>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</si>
  <si>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</si>
  <si>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</si>
  <si>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</si>
  <si>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</si>
  <si>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</si>
  <si>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</si>
  <si>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</si>
  <si>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</si>
  <si>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</si>
  <si>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</si>
  <si>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</si>
  <si>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</si>
  <si>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</si>
  <si>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</si>
  <si>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</si>
  <si>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</si>
  <si>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</si>
  <si>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</si>
  <si>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</si>
  <si>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</si>
  <si>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</si>
  <si>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</si>
  <si>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</si>
  <si>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</si>
  <si>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</si>
  <si>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</si>
  <si>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</si>
  <si>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</si>
  <si>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</si>
  <si>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</si>
  <si>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</si>
  <si>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</si>
  <si>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</si>
  <si>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</si>
  <si>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</si>
  <si>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</si>
  <si>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</si>
  <si>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</si>
  <si>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</si>
  <si>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</si>
  <si>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</si>
  <si>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</si>
  <si>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</si>
  <si>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</si>
  <si>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</si>
  <si>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</si>
  <si>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</si>
  <si>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</si>
  <si>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</si>
  <si>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</si>
  <si>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</si>
  <si>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</si>
  <si>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</si>
  <si>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</si>
  <si>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</si>
  <si>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</si>
  <si>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</si>
  <si>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</si>
  <si>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</si>
  <si>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</si>
  <si>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</si>
  <si>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</si>
  <si>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</si>
  <si>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</si>
  <si>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</si>
  <si>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</si>
  <si>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</si>
  <si>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</si>
  <si>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</si>
  <si>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</si>
  <si>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</si>
  <si>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</si>
  <si>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</si>
  <si>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</si>
  <si>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</si>
  <si>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</si>
  <si>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</si>
  <si>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</si>
  <si>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</si>
  <si>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</si>
  <si>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</si>
  <si>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</si>
  <si>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</si>
  <si>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</si>
  <si>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</si>
  <si>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</si>
  <si>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</si>
  <si>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</si>
  <si>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</si>
  <si>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</si>
  <si>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</si>
  <si>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</si>
  <si>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</si>
  <si>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</si>
  <si>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</si>
  <si>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</si>
  <si>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</si>
  <si>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</si>
  <si>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</si>
  <si>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</si>
  <si>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</si>
  <si>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</si>
  <si>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</si>
  <si>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</si>
  <si>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</si>
  <si>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</si>
  <si>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</si>
  <si>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</si>
  <si>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</si>
  <si>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</si>
  <si>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</si>
  <si>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</si>
  <si>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</si>
  <si>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</si>
  <si>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</si>
  <si>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</si>
  <si>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</si>
  <si>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</si>
  <si>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</si>
  <si>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</si>
  <si>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</si>
  <si>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</si>
  <si>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</si>
  <si>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</si>
  <si>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</si>
  <si>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</si>
  <si>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</si>
  <si>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</si>
  <si>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</si>
  <si>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</si>
  <si>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</si>
  <si>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</si>
  <si>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</si>
  <si>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</si>
  <si>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</si>
  <si>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</si>
  <si>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</si>
  <si>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</si>
  <si>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</si>
  <si>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</si>
  <si>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</si>
  <si>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</si>
  <si>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</si>
  <si>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</si>
  <si>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</si>
  <si>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</si>
  <si>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</si>
  <si>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</si>
  <si>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</si>
  <si>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</si>
  <si>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</si>
  <si>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</si>
  <si>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</si>
  <si>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</si>
  <si>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</si>
  <si>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</si>
  <si>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</si>
  <si>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</si>
  <si>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</si>
  <si>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</si>
  <si>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</si>
  <si>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</si>
  <si>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</si>
  <si>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</si>
  <si>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</si>
  <si>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</si>
  <si>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</si>
  <si>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</si>
  <si>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</si>
  <si>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</si>
  <si>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</si>
  <si>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</si>
  <si>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</si>
  <si>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</si>
  <si>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</si>
  <si>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</si>
  <si>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</si>
  <si>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</si>
  <si>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</si>
  <si>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</si>
  <si>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</si>
  <si>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</si>
  <si>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</si>
  <si>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</si>
  <si>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</si>
  <si>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</si>
  <si>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</si>
  <si>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</si>
  <si>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</si>
  <si>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</si>
  <si>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</si>
  <si>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</si>
  <si>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</si>
  <si>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</si>
  <si>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</si>
  <si>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</si>
  <si>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</si>
  <si>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</si>
  <si>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</si>
  <si>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</si>
  <si>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</si>
  <si>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</si>
  <si>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</si>
  <si>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</si>
  <si>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</si>
  <si>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</si>
  <si>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</si>
  <si>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</si>
  <si>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</si>
  <si>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</si>
  <si>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</si>
  <si>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</si>
  <si>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</si>
  <si>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</si>
  <si>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</si>
  <si>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</si>
  <si>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</si>
  <si>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</si>
  <si>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</si>
  <si>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</si>
  <si>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</si>
  <si>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</si>
  <si>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</si>
  <si>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</si>
  <si>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</si>
  <si>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</si>
  <si>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</si>
  <si>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</si>
  <si>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</si>
  <si>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</si>
  <si>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</si>
  <si>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</si>
  <si>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</si>
  <si>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</si>
  <si>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</si>
  <si>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</si>
  <si>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</si>
  <si>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</si>
  <si>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</si>
  <si>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</si>
  <si>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</si>
  <si>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</si>
  <si>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</si>
  <si>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</si>
  <si>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</si>
  <si>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</si>
  <si>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</si>
  <si>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</si>
  <si>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</si>
  <si>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</si>
  <si>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</si>
  <si>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</si>
  <si>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</si>
  <si>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</si>
  <si>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</si>
  <si>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</si>
  <si>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</si>
  <si>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</si>
  <si>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</si>
  <si>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</si>
  <si>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</si>
  <si>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</si>
  <si>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</si>
  <si>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</si>
  <si>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</si>
  <si>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</si>
  <si>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</si>
  <si>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</si>
  <si>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</si>
  <si>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</si>
  <si>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</si>
  <si>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</si>
  <si>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</si>
  <si>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</si>
  <si>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</si>
  <si>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</si>
  <si>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</si>
  <si>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</si>
  <si>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</si>
  <si>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</si>
  <si>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</si>
  <si>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</si>
  <si>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</si>
  <si>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</si>
  <si>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</si>
  <si>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</si>
  <si>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</si>
  <si>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</si>
  <si>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</si>
  <si>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</si>
  <si>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</si>
  <si>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</si>
  <si>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</si>
  <si>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</si>
  <si>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</si>
  <si>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</si>
  <si>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</si>
  <si>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</si>
  <si>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</si>
  <si>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</si>
  <si>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</si>
  <si>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</si>
  <si>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</si>
  <si>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</si>
  <si>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</si>
  <si>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</si>
  <si>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</si>
  <si>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</si>
  <si>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</si>
  <si>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</si>
  <si>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</si>
  <si>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</si>
  <si>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</si>
  <si>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</si>
  <si>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</si>
  <si>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</si>
  <si>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</si>
  <si>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</si>
  <si>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</si>
  <si>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</si>
  <si>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</si>
  <si>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</si>
  <si>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</si>
  <si>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</si>
  <si>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</si>
  <si>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</si>
  <si>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</si>
  <si>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</si>
  <si>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</si>
  <si>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</si>
  <si>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</si>
  <si>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</si>
  <si>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</si>
  <si>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</si>
  <si>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</si>
  <si>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</si>
  <si>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</si>
  <si>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</si>
  <si>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</si>
  <si>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</si>
  <si>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</si>
  <si>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</si>
  <si>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</si>
  <si>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</si>
  <si>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</si>
  <si>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</si>
  <si>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</si>
  <si>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</si>
  <si>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</si>
  <si>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</si>
  <si>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</si>
  <si>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</si>
  <si>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</si>
  <si>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</si>
  <si>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</si>
  <si>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</si>
  <si>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</si>
  <si>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</si>
  <si>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</si>
  <si>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</si>
  <si>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</si>
  <si>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</si>
  <si>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</si>
  <si>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</si>
  <si>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</si>
  <si>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</si>
  <si>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</si>
  <si>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</si>
  <si>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</si>
  <si>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</si>
  <si>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</si>
  <si>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</si>
  <si>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</si>
  <si>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</si>
  <si>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</si>
  <si>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</si>
  <si>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</si>
  <si>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</si>
  <si>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</si>
  <si>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</si>
  <si>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</si>
  <si>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</si>
  <si>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</si>
  <si>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</si>
  <si>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</si>
  <si>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</si>
  <si>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</si>
  <si>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</si>
  <si>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</si>
  <si>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</si>
  <si>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</si>
  <si>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</si>
  <si>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</si>
  <si>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</si>
  <si>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</si>
  <si>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</si>
  <si>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</si>
  <si>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</si>
  <si>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</si>
  <si>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</si>
  <si>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</si>
  <si>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</si>
  <si>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</si>
  <si>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</si>
  <si>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</si>
  <si>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</si>
  <si>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</si>
  <si>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</si>
  <si>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</si>
  <si>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</si>
  <si>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</si>
  <si>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</si>
  <si>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</si>
  <si>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</si>
  <si>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</si>
  <si>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</si>
  <si>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</si>
  <si>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</si>
  <si>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</si>
  <si>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</si>
  <si>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</si>
  <si>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</si>
  <si>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</si>
  <si>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</si>
  <si>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</si>
  <si>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</si>
  <si>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</si>
  <si>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</si>
  <si>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</si>
  <si>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</si>
  <si>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</si>
  <si>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</si>
  <si>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</si>
  <si>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</si>
  <si>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</si>
  <si>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</si>
  <si>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</si>
  <si>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</si>
  <si>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</si>
  <si>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</si>
  <si>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</si>
  <si>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</si>
  <si>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</si>
  <si>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</si>
  <si>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</si>
  <si>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</si>
  <si>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</si>
  <si>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</si>
  <si>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</si>
  <si>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</si>
  <si>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</si>
  <si>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</si>
  <si>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</si>
  <si>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</si>
  <si>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</si>
  <si>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</si>
  <si>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</si>
  <si>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</si>
  <si>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</si>
  <si>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</si>
  <si>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</si>
  <si>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</si>
  <si>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</si>
  <si>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</si>
  <si>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</si>
  <si>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</si>
  <si>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</si>
  <si>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</si>
  <si>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</si>
  <si>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</si>
  <si>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</si>
  <si>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</si>
  <si>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</si>
  <si>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</si>
  <si>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</si>
  <si>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</si>
  <si>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</si>
  <si>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</si>
  <si>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</si>
  <si>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</si>
  <si>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</si>
  <si>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</si>
  <si>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</si>
  <si>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</si>
  <si>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</si>
  <si>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</si>
  <si>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</si>
  <si>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</si>
  <si>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</si>
  <si>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</si>
  <si>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</si>
  <si>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</si>
  <si>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</si>
  <si>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</si>
  <si>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</si>
  <si>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</si>
  <si>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</si>
  <si>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</si>
  <si>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</si>
  <si>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</si>
  <si>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</si>
  <si>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</si>
  <si>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</si>
  <si>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</si>
  <si>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</si>
  <si>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</si>
  <si>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</si>
  <si>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</si>
  <si>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</si>
  <si>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</si>
  <si>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</si>
  <si>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</si>
  <si>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</si>
  <si>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</si>
  <si>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</si>
  <si>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</si>
  <si>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</si>
  <si>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</si>
  <si>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</si>
  <si>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</si>
  <si>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</si>
  <si>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</si>
  <si>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</si>
  <si>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</si>
  <si>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</si>
  <si>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</si>
  <si>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</si>
  <si>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</si>
  <si>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</si>
  <si>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</si>
  <si>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</si>
  <si>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</si>
  <si>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</si>
  <si>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</si>
  <si>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</si>
  <si>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</si>
  <si>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</si>
  <si>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</si>
  <si>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</si>
  <si>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</si>
  <si>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</si>
  <si>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</si>
  <si>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</si>
  <si>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</si>
  <si>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</si>
  <si>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</si>
  <si>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</si>
  <si>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</si>
  <si>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</si>
  <si>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</si>
  <si>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</si>
  <si>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</si>
  <si>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</si>
  <si>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</si>
  <si>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</si>
  <si>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</si>
  <si>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</si>
  <si>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</si>
  <si>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</si>
  <si>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</si>
  <si>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</si>
  <si>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</si>
  <si>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</si>
  <si>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</si>
  <si>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</si>
  <si>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</si>
  <si>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</si>
  <si>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</si>
  <si>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</si>
  <si>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</si>
  <si>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</si>
  <si>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</si>
  <si>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</si>
  <si>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</si>
  <si>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</si>
  <si>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</si>
  <si>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</si>
  <si>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</si>
  <si>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</si>
  <si>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</si>
  <si>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</si>
  <si>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</si>
  <si>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</si>
  <si>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</si>
  <si>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</si>
  <si>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</si>
  <si>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</si>
  <si>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</si>
  <si>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</si>
  <si>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</si>
  <si>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</si>
  <si>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</si>
  <si>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</si>
  <si>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</si>
  <si>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</si>
  <si>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</si>
  <si>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</si>
  <si>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</si>
  <si>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</si>
  <si>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</si>
  <si>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</si>
  <si>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</si>
  <si>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</si>
  <si>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</si>
  <si>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</si>
  <si>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</si>
  <si>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</si>
  <si>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</si>
  <si>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</si>
  <si>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</si>
  <si>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</si>
  <si>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</si>
  <si>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</si>
  <si>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</si>
  <si>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</si>
  <si>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</si>
  <si>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</si>
  <si>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</si>
  <si>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</si>
  <si>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</si>
  <si>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</si>
  <si>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</si>
  <si>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</si>
  <si>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</si>
  <si>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</si>
  <si>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</si>
  <si>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</si>
  <si>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</si>
  <si>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</si>
  <si>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</si>
  <si>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</si>
  <si>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</si>
  <si>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</si>
  <si>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</si>
  <si>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</si>
  <si>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</si>
  <si>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</si>
  <si>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</si>
  <si>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</si>
  <si>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</si>
  <si>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</si>
  <si>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</si>
  <si>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</si>
  <si>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</si>
  <si>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</si>
  <si>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</si>
  <si>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</si>
  <si>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</si>
  <si>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</si>
  <si>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</si>
  <si>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</si>
  <si>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</si>
  <si>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</si>
  <si>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</si>
  <si>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</si>
  <si>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</si>
  <si>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</si>
  <si>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</si>
  <si>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</si>
  <si>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</si>
  <si>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</si>
  <si>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</si>
  <si>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</si>
  <si>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</si>
  <si>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</si>
  <si>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</si>
  <si>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</si>
  <si>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</si>
  <si>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</si>
  <si>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</si>
  <si>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</si>
  <si>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</si>
  <si>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</si>
  <si>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</si>
  <si>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</si>
  <si>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</si>
  <si>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</si>
  <si>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</si>
  <si>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</si>
  <si>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</si>
  <si>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</si>
  <si>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</si>
  <si>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</si>
  <si>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</si>
  <si>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</si>
  <si>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</si>
  <si>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</si>
  <si>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</si>
  <si>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</si>
  <si>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</si>
  <si>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</si>
  <si>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</si>
  <si>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</si>
  <si>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</si>
  <si>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</si>
  <si>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</si>
  <si>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</si>
  <si>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</si>
  <si>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</si>
  <si>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</si>
  <si>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</si>
  <si>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</si>
  <si>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</si>
  <si>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</si>
  <si>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</si>
  <si>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</si>
  <si>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</si>
  <si>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</si>
  <si>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</si>
  <si>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</si>
  <si>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</si>
  <si>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</si>
  <si>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</si>
  <si>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</si>
  <si>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</si>
  <si>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</si>
  <si>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</si>
  <si>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</si>
  <si>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</si>
  <si>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</si>
  <si>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</si>
  <si>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</si>
  <si>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</si>
  <si>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</si>
  <si>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</si>
  <si>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</si>
  <si>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</si>
  <si>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</si>
  <si>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</si>
  <si>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</si>
  <si>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</si>
  <si>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</si>
  <si>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</si>
  <si>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</si>
  <si>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</si>
  <si>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</si>
  <si>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</si>
  <si>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</si>
  <si>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</si>
  <si>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</si>
  <si>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</si>
  <si>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</si>
  <si>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</si>
  <si>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</si>
  <si>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</si>
  <si>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</si>
  <si>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</si>
  <si>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</si>
  <si>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</si>
  <si>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</si>
  <si>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</si>
  <si>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</si>
  <si>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</si>
  <si>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</si>
  <si>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</si>
  <si>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</si>
  <si>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</si>
  <si>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</si>
  <si>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</si>
  <si>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</si>
  <si>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</si>
  <si>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</si>
  <si>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</si>
  <si>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</si>
  <si>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</si>
  <si>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</si>
  <si>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</si>
  <si>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</si>
  <si>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</si>
  <si>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</si>
  <si>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</si>
  <si>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</si>
  <si>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</si>
  <si>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</si>
  <si>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</si>
  <si>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</si>
  <si>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</si>
  <si>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</si>
  <si>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</si>
  <si>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</si>
  <si>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</si>
  <si>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</si>
  <si>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</si>
  <si>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</si>
  <si>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</si>
  <si>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</si>
  <si>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</si>
  <si>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</si>
  <si>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</si>
  <si>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</si>
  <si>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</si>
  <si>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</si>
  <si>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</si>
  <si>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</si>
  <si>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</si>
  <si>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</si>
  <si>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</si>
  <si>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</si>
  <si>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</si>
  <si>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</si>
  <si>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</si>
  <si>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</si>
  <si>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</si>
  <si>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</si>
  <si>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</si>
  <si>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</si>
  <si>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</si>
  <si>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</si>
  <si>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</si>
  <si>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</si>
  <si>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</si>
  <si>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</si>
  <si>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</si>
  <si>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</si>
  <si>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</si>
  <si>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</si>
  <si>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</si>
  <si>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</si>
  <si>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</si>
  <si>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</si>
  <si>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</si>
  <si>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</si>
  <si>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</si>
  <si>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</si>
  <si>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</si>
  <si>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</si>
  <si>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</si>
  <si>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</si>
  <si>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</si>
  <si>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</si>
  <si>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</si>
  <si>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</si>
  <si>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</si>
  <si>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</si>
  <si>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</si>
  <si>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</si>
  <si>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</si>
  <si>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</si>
  <si>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</si>
  <si>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</si>
  <si>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</si>
  <si>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</si>
  <si>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</si>
  <si>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</si>
  <si>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</si>
  <si>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</si>
  <si>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</si>
  <si>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</si>
  <si>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</si>
  <si>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</si>
  <si>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</si>
  <si>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</si>
  <si>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</si>
  <si>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</si>
  <si>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</si>
  <si>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</si>
  <si>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</si>
  <si>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</si>
  <si>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</si>
  <si>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</si>
  <si>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</si>
  <si>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</si>
  <si>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</si>
  <si>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</si>
  <si>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</si>
  <si>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</si>
  <si>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</si>
  <si>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</si>
  <si>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</si>
  <si>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</si>
  <si>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</si>
  <si>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</si>
  <si>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</si>
  <si>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</si>
  <si>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</si>
  <si>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</si>
  <si>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</si>
  <si>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</si>
  <si>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</si>
  <si>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</si>
  <si>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</si>
  <si>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</si>
  <si>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</si>
  <si>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</si>
  <si>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</si>
  <si>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</si>
  <si>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</si>
  <si>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</si>
  <si>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</si>
  <si>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</si>
  <si>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</si>
  <si>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</si>
  <si>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</si>
  <si>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</si>
  <si>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</si>
  <si>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</si>
  <si>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</si>
  <si>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</si>
  <si>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</si>
  <si>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</si>
  <si>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</si>
  <si>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</si>
  <si>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</si>
  <si>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</si>
  <si>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</si>
  <si>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</si>
  <si>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</si>
  <si>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</si>
  <si>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</si>
  <si>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</si>
  <si>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</si>
  <si>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</si>
  <si>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</si>
  <si>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</si>
  <si>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</si>
  <si>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</si>
  <si>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</si>
  <si>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</si>
  <si>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</si>
  <si>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</si>
  <si>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</si>
  <si>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</si>
  <si>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</si>
  <si>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</si>
  <si>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</si>
  <si>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</si>
  <si>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</si>
  <si>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</si>
  <si>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</si>
  <si>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</si>
  <si>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</si>
  <si>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</si>
  <si>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</si>
  <si>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</si>
  <si>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</si>
  <si>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</si>
  <si>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</si>
  <si>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</si>
  <si>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</si>
  <si>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</si>
  <si>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</si>
  <si>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</si>
  <si>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</si>
  <si>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</si>
  <si>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</si>
  <si>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</si>
  <si>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</si>
  <si>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</si>
  <si>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</si>
  <si>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</si>
  <si>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</si>
  <si>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</si>
  <si>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</si>
  <si>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</si>
  <si>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</si>
  <si>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</si>
  <si>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</si>
  <si>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</si>
  <si>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</si>
  <si>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</si>
  <si>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</si>
  <si>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</si>
  <si>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</si>
  <si>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</si>
  <si>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</si>
  <si>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</si>
  <si>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</si>
  <si>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</si>
  <si>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</si>
  <si>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</si>
  <si>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</si>
  <si>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</si>
  <si>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</si>
  <si>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</si>
  <si>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</si>
  <si>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</si>
  <si>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</si>
  <si>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</si>
  <si>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</si>
  <si>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</si>
  <si>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</si>
  <si>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</si>
  <si>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</si>
  <si>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</si>
  <si>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</si>
  <si>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</si>
  <si>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</si>
  <si>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</si>
  <si>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</si>
  <si>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</si>
  <si>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</si>
  <si>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</si>
  <si>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</si>
  <si>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</si>
  <si>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</si>
  <si>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</si>
  <si>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</si>
  <si>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</si>
  <si>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</si>
  <si>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</si>
  <si>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</si>
  <si>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</si>
  <si>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</si>
  <si>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</si>
  <si>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</si>
  <si>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</si>
  <si>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</si>
  <si>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</si>
  <si>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</si>
  <si>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</si>
  <si>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</si>
  <si>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</si>
  <si>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</si>
  <si>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</si>
  <si>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</si>
  <si>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</si>
  <si>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</si>
  <si>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</si>
  <si>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</si>
  <si>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</si>
  <si>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</si>
  <si>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</si>
  <si>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</si>
  <si>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</si>
  <si>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</si>
  <si>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</si>
  <si>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</si>
  <si>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</si>
  <si>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</si>
  <si>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</si>
  <si>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</si>
  <si>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</si>
  <si>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</si>
  <si>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</si>
  <si>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</si>
  <si>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</si>
  <si>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</si>
  <si>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</si>
  <si>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</si>
  <si>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</si>
  <si>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</si>
  <si>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</si>
  <si>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</si>
  <si>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</si>
  <si>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</si>
  <si>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</si>
  <si>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</si>
  <si>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</si>
  <si>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</si>
  <si>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</si>
  <si>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</si>
  <si>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</si>
  <si>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</si>
  <si>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</si>
  <si>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</si>
  <si>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</si>
  <si>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</si>
  <si>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</si>
  <si>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</si>
  <si>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</si>
  <si>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</si>
  <si>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</si>
  <si>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</si>
  <si>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</si>
  <si>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</si>
  <si>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</si>
  <si>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</si>
  <si>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</si>
  <si>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</si>
  <si>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</si>
  <si>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</si>
  <si>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</si>
  <si>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</si>
  <si>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</si>
  <si>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</si>
  <si>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</si>
  <si>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</si>
  <si>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</si>
  <si>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</si>
  <si>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</si>
  <si>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</si>
  <si>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</si>
  <si>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</si>
  <si>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</si>
  <si>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</si>
  <si>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</si>
  <si>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</si>
  <si>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</si>
  <si>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</si>
  <si>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</si>
  <si>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</si>
  <si>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</si>
  <si>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</si>
  <si>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</si>
  <si>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</si>
  <si>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</si>
  <si>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</si>
  <si>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</si>
  <si>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</si>
  <si>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</si>
  <si>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</si>
  <si>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</si>
  <si>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</si>
  <si>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</si>
  <si>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</si>
  <si>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</si>
  <si>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</si>
  <si>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</si>
  <si>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</si>
  <si>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</si>
  <si>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</si>
  <si>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</si>
  <si>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</si>
  <si>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</si>
  <si>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</si>
  <si>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</si>
  <si>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</si>
  <si>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</si>
  <si>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</si>
  <si>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</si>
  <si>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</si>
  <si>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</si>
  <si>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</si>
  <si>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</si>
  <si>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</si>
  <si>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</si>
  <si>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</si>
  <si>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</si>
  <si>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</si>
  <si>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</si>
  <si>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</si>
  <si>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</si>
  <si>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</si>
  <si>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</si>
  <si>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</si>
  <si>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</si>
  <si>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</si>
  <si>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</si>
  <si>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</si>
  <si>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</si>
  <si>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</si>
  <si>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</si>
  <si>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</si>
  <si>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</si>
  <si>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</si>
  <si>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</si>
  <si>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</si>
  <si>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</si>
  <si>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</si>
  <si>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</si>
  <si>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</si>
  <si>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</si>
  <si>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</si>
  <si>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</si>
  <si>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</si>
  <si>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</si>
  <si>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</si>
  <si>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</si>
  <si>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</si>
  <si>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</si>
  <si>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</si>
  <si>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</si>
  <si>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</si>
  <si>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</si>
  <si>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</si>
  <si>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</si>
  <si>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</si>
  <si>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</si>
  <si>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</si>
  <si>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</si>
  <si>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</si>
  <si>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</si>
  <si>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</si>
  <si>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</si>
  <si>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</si>
  <si>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</si>
  <si>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</si>
  <si>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</si>
  <si>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</si>
  <si>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</si>
  <si>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</si>
  <si>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</si>
  <si>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</si>
  <si>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</si>
  <si>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</si>
  <si>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</si>
  <si>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</si>
  <si>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</si>
  <si>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</si>
  <si>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</si>
  <si>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</si>
  <si>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</si>
  <si>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</si>
  <si>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</si>
  <si>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</si>
  <si>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</si>
  <si>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</si>
  <si>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</si>
  <si>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</si>
  <si>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</si>
  <si>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</si>
  <si>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</si>
  <si>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</si>
  <si>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</si>
  <si>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</si>
  <si>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</si>
  <si>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</si>
  <si>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</si>
  <si>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</si>
  <si>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</si>
  <si>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</si>
  <si>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</si>
  <si>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</si>
  <si>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</si>
  <si>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</si>
  <si>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</si>
  <si>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</si>
  <si>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</si>
  <si>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</si>
  <si>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</si>
  <si>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</si>
  <si>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</si>
  <si>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</si>
  <si>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</si>
  <si>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</si>
  <si>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</si>
  <si>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</si>
  <si>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</si>
  <si>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</si>
  <si>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</si>
  <si>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</si>
  <si>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</si>
  <si>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</si>
  <si>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</si>
  <si>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</si>
  <si>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</si>
  <si>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</si>
  <si>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</si>
  <si>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</si>
  <si>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</si>
  <si>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</si>
  <si>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</si>
  <si>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</si>
  <si>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</si>
  <si>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</si>
  <si>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</si>
  <si>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</si>
  <si>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</si>
  <si>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</si>
  <si>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</si>
  <si>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</si>
  <si>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</si>
  <si>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</si>
  <si>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</si>
  <si>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</si>
  <si>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</si>
  <si>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</si>
  <si>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</si>
  <si>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</si>
  <si>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</si>
  <si>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</si>
  <si>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</si>
  <si>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</si>
  <si>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</si>
  <si>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</si>
  <si>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</si>
  <si>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</si>
  <si>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</si>
  <si>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</si>
  <si>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</si>
  <si>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</si>
  <si>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</si>
  <si>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</si>
  <si>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</si>
  <si>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</si>
  <si>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</si>
  <si>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</si>
  <si>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</si>
  <si>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</si>
  <si>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</si>
  <si>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</si>
  <si>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</si>
  <si>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</si>
  <si>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</si>
  <si>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</si>
  <si>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</si>
  <si>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</si>
  <si>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</si>
  <si>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</si>
  <si>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</si>
  <si>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</si>
  <si>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</si>
  <si>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</si>
  <si>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</si>
  <si>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</si>
  <si>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</si>
  <si>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</si>
  <si>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</si>
  <si>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</si>
  <si>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</si>
  <si>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</si>
  <si>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</si>
  <si>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</si>
  <si>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</si>
  <si>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</si>
  <si>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</si>
  <si>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</si>
  <si>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</si>
  <si>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</si>
  <si>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</si>
  <si>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</si>
  <si>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</si>
  <si>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</si>
  <si>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</si>
  <si>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</si>
  <si>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</si>
  <si>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</si>
  <si>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</si>
  <si>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</si>
  <si>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</si>
  <si>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</si>
  <si>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</si>
  <si>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</si>
  <si>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</si>
  <si>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</si>
  <si>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</si>
  <si>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</si>
  <si>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</si>
  <si>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</si>
  <si>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</si>
  <si>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</si>
  <si>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</si>
  <si>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</si>
  <si>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</si>
  <si>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</si>
  <si>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</si>
  <si>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</si>
  <si>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</si>
  <si>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</si>
  <si>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</si>
  <si>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</si>
  <si>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</si>
  <si>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</si>
  <si>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</si>
  <si>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</si>
  <si>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</si>
  <si>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</si>
  <si>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</si>
  <si>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</si>
  <si>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</si>
  <si>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</si>
  <si>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</si>
  <si>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</si>
  <si>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</si>
  <si>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</si>
  <si>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</si>
  <si>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</si>
  <si>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</si>
  <si>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</si>
  <si>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</si>
  <si>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</si>
  <si>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</si>
  <si>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</si>
  <si>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</si>
  <si>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</si>
  <si>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</si>
  <si>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</si>
  <si>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</si>
  <si>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</si>
  <si>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</si>
  <si>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</si>
  <si>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</si>
  <si>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</si>
  <si>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</si>
  <si>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</si>
  <si>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</si>
  <si>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</si>
  <si>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</si>
  <si>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</si>
  <si>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</si>
  <si>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</si>
  <si>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</si>
  <si>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</si>
  <si>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</si>
  <si>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</si>
  <si>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</si>
  <si>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</si>
  <si>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</si>
  <si>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</si>
  <si>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</si>
  <si>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</si>
  <si>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</si>
  <si>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</si>
  <si>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</si>
  <si>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</si>
  <si>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</si>
  <si>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</si>
  <si>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</si>
  <si>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</si>
  <si>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</si>
  <si>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</si>
  <si>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</si>
  <si>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</si>
  <si>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</si>
  <si>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</si>
  <si>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</si>
  <si>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</si>
  <si>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</si>
  <si>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</si>
  <si>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</si>
  <si>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</si>
  <si>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</si>
  <si>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</si>
  <si>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</si>
  <si>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</si>
  <si>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</si>
  <si>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</si>
  <si>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</si>
  <si>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</si>
  <si>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</si>
  <si>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</si>
  <si>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</si>
  <si>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</si>
  <si>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</si>
  <si>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</si>
  <si>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</si>
  <si>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</si>
  <si>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</si>
  <si>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</si>
  <si>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</si>
  <si>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</si>
  <si>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</si>
  <si>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</si>
  <si>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</si>
  <si>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</si>
  <si>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</si>
  <si>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</si>
  <si>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</si>
  <si>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</si>
  <si>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</si>
  <si>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</si>
  <si>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</si>
  <si>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</si>
  <si>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</si>
  <si>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</si>
  <si>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</si>
  <si>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</si>
  <si>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</si>
  <si>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</si>
  <si>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</si>
  <si>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</si>
  <si>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</si>
  <si>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</si>
  <si>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</si>
  <si>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</si>
  <si>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</si>
  <si>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</si>
  <si>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</si>
  <si>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</si>
  <si>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</si>
  <si>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</si>
  <si>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</si>
  <si>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</si>
  <si>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</si>
  <si>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</si>
  <si>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</si>
  <si>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</si>
  <si>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</si>
  <si>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</si>
  <si>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</si>
  <si>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</si>
  <si>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</si>
  <si>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</si>
  <si>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</si>
  <si>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</si>
  <si>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</si>
  <si>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</si>
  <si>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</si>
  <si>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</si>
  <si>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</si>
  <si>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</si>
  <si>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</si>
  <si>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</si>
  <si>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</si>
  <si>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</si>
  <si>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</si>
  <si>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</si>
  <si>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</si>
  <si>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</si>
  <si>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</si>
  <si>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</si>
  <si>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</si>
  <si>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</si>
  <si>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</si>
  <si>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</si>
  <si>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</si>
  <si>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</si>
  <si>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</si>
  <si>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</si>
  <si>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</si>
  <si>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</si>
  <si>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</si>
  <si>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</si>
  <si>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</si>
  <si>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</si>
  <si>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</si>
  <si>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</si>
  <si>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</si>
  <si>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</si>
  <si>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</si>
  <si>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</si>
  <si>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</si>
  <si>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</si>
  <si>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</si>
  <si>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</si>
  <si>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</si>
  <si>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</si>
  <si>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</si>
  <si>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</si>
  <si>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</si>
  <si>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</si>
  <si>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</si>
  <si>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</si>
  <si>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</si>
  <si>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</si>
  <si>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</si>
  <si>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</si>
  <si>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</si>
  <si>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</si>
  <si>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</si>
  <si>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</si>
  <si>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</si>
  <si>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</si>
  <si>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</si>
  <si>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</si>
  <si>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</si>
  <si>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</si>
  <si>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</si>
  <si>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</si>
  <si>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</si>
  <si>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</si>
  <si>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</si>
  <si>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</si>
  <si>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</si>
  <si>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</si>
  <si>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</si>
  <si>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</si>
  <si>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</si>
  <si>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</si>
  <si>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</si>
  <si>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</si>
  <si>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</si>
  <si>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</si>
  <si>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</si>
  <si>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</si>
  <si>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</si>
  <si>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</si>
  <si>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</si>
  <si>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</si>
  <si>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</si>
  <si>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</si>
  <si>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</si>
  <si>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</si>
  <si>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</si>
  <si>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</si>
  <si>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</si>
  <si>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</si>
  <si>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</si>
  <si>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</si>
  <si>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</si>
  <si>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</si>
  <si>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</si>
  <si>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</si>
  <si>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</si>
  <si>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</si>
  <si>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</si>
  <si>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</si>
  <si>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</si>
  <si>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</si>
  <si>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</si>
  <si>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</si>
  <si>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</si>
  <si>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</si>
  <si>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</si>
  <si>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</si>
  <si>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</si>
  <si>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</si>
  <si>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</si>
  <si>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</si>
  <si>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</si>
  <si>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</si>
  <si>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</si>
  <si>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</si>
  <si>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</si>
  <si>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</si>
  <si>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</si>
  <si>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</si>
  <si>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12/02</t>
  </si>
  <si>
    <t>10/22</t>
  </si>
  <si>
    <t>SAU #74 Barrington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</si>
</sst>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4"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8"/>
      <color rgb="FF000000"/>
      <name val="Tahoma"/>
      <family val="2"/>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3">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0" fontId="1" fillId="41" borderId="0" xfId="43" applyFont="1" applyFill="1" applyProtection="1">
      <protection locked="0"/>
    </xf>
    <xf numFmtId="4" fontId="73"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2" fillId="0" borderId="0" xfId="0" applyNumberFormat="1" applyFont="1" applyAlignment="1" applyProtection="1">
      <alignment horizontal="center"/>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zoomScale="115" zoomScaleNormal="115" workbookViewId="0">
      <pane xSplit="5" ySplit="3" topLeftCell="F645" activePane="bottomRight" state="frozen"/>
      <selection pane="topRight" activeCell="F1" sqref="F1"/>
      <selection pane="bottomLeft" activeCell="A4" sqref="A4"/>
      <selection pane="bottomRight" activeCell="B648" sqref="B648"/>
    </sheetView>
  </sheetViews>
  <sheetFormatPr defaultColWidth="8.6640625" defaultRowHeight="12.2" customHeight="1" x14ac:dyDescent="0.2"/>
  <cols>
    <col min="1" max="1" width="45.1640625" customWidth="1"/>
    <col min="2" max="2" width="5.1640625" customWidth="1"/>
    <col min="3" max="3" width="5" customWidth="1"/>
    <col min="4" max="4" width="3.6640625" hidden="1" customWidth="1"/>
    <col min="5" max="5" width="6.6640625" bestFit="1" customWidth="1"/>
    <col min="6" max="6" width="17" style="20" customWidth="1"/>
    <col min="7" max="8" width="17.1640625" style="20" customWidth="1"/>
    <col min="9" max="9" width="18.66406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1674</v>
      </c>
      <c r="B2" s="21">
        <v>33</v>
      </c>
      <c r="C2" s="21">
        <v>33</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1775079</v>
      </c>
      <c r="G9" s="18"/>
      <c r="H9" s="18"/>
      <c r="I9" s="18"/>
      <c r="J9" s="67">
        <f>SUM(I440)</f>
        <v>1641068.17</v>
      </c>
      <c r="K9" s="24" t="s">
        <v>288</v>
      </c>
      <c r="L9" s="24" t="s">
        <v>288</v>
      </c>
      <c r="M9" s="8"/>
      <c r="N9" s="264"/>
    </row>
    <row r="10" spans="1:14" s="3" customFormat="1" ht="12.2" customHeight="1" x14ac:dyDescent="0.15">
      <c r="A10" s="1" t="s">
        <v>562</v>
      </c>
      <c r="B10" s="2" t="s">
        <v>289</v>
      </c>
      <c r="C10" s="6">
        <v>2</v>
      </c>
      <c r="D10" s="2" t="s">
        <v>428</v>
      </c>
      <c r="E10" s="6">
        <v>110</v>
      </c>
      <c r="F10" s="18">
        <v>6964.31</v>
      </c>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103498</v>
      </c>
      <c r="G12" s="18"/>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c r="G13" s="18">
        <v>29841.84</v>
      </c>
      <c r="H13" s="18"/>
      <c r="I13" s="18"/>
      <c r="J13" s="67">
        <f>SUM(I443)</f>
        <v>0</v>
      </c>
      <c r="K13" s="24" t="s">
        <v>288</v>
      </c>
      <c r="L13" s="24" t="s">
        <v>288</v>
      </c>
      <c r="M13" s="8"/>
      <c r="N13" s="264"/>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t="s">
        <v>286</v>
      </c>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1885541.31</v>
      </c>
      <c r="G19" s="41">
        <f>SUM(G9:G18)</f>
        <v>29841.84</v>
      </c>
      <c r="H19" s="41">
        <f>SUM(H9:H18)</f>
        <v>0</v>
      </c>
      <c r="I19" s="41">
        <f>SUM(I9:I18)</f>
        <v>0</v>
      </c>
      <c r="J19" s="41">
        <f>SUM(J9:J18)</f>
        <v>1641068.17</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v>28856</v>
      </c>
      <c r="G22" s="18"/>
      <c r="H22" s="18"/>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259584</v>
      </c>
      <c r="G24" s="18"/>
      <c r="H24" s="18"/>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8343</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f>50744+92728+171736+11557-83+2614+52+5817-126665</f>
        <v>208500</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6964.31</v>
      </c>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512247.31</v>
      </c>
      <c r="G32" s="41">
        <f>SUM(G22:G31)</f>
        <v>0</v>
      </c>
      <c r="H32" s="41">
        <f>SUM(H22:H31)</f>
        <v>0</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v>26035</v>
      </c>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29841.84</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250000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v>479466</v>
      </c>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4"/>
    </row>
    <row r="49" spans="1:14" s="3" customFormat="1" ht="12.2" customHeight="1" x14ac:dyDescent="0.15">
      <c r="A49" s="1" t="s">
        <v>859</v>
      </c>
      <c r="B49" s="2" t="s">
        <v>289</v>
      </c>
      <c r="C49" s="6">
        <v>34</v>
      </c>
      <c r="D49" s="2"/>
      <c r="E49" s="6">
        <v>753</v>
      </c>
      <c r="F49" s="18"/>
      <c r="G49" s="18"/>
      <c r="H49" s="18"/>
      <c r="I49" s="18"/>
      <c r="J49" s="13">
        <f>I455</f>
        <v>1641068.17</v>
      </c>
      <c r="K49" s="24"/>
      <c r="L49" s="24"/>
      <c r="M49" s="8"/>
      <c r="N49" s="264"/>
    </row>
    <row r="50" spans="1:14" s="3" customFormat="1" ht="12.2" customHeight="1" thickBot="1" x14ac:dyDescent="0.2">
      <c r="A50" s="29" t="s">
        <v>840</v>
      </c>
      <c r="B50" s="2" t="s">
        <v>289</v>
      </c>
      <c r="C50" s="71">
        <v>35</v>
      </c>
      <c r="D50" s="2" t="s">
        <v>653</v>
      </c>
      <c r="E50" s="6">
        <v>770</v>
      </c>
      <c r="F50" s="18">
        <v>617793</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1373294</v>
      </c>
      <c r="G51" s="41">
        <f>SUM(G35:G50)</f>
        <v>29841.84</v>
      </c>
      <c r="H51" s="41">
        <f>SUM(H35:H50)</f>
        <v>0</v>
      </c>
      <c r="I51" s="41">
        <f>SUM(I35:I50)</f>
        <v>0</v>
      </c>
      <c r="J51" s="41">
        <f>SUM(J35:J50)</f>
        <v>1641068.17</v>
      </c>
      <c r="K51" s="45" t="s">
        <v>288</v>
      </c>
      <c r="L51" s="45" t="s">
        <v>288</v>
      </c>
      <c r="N51" s="262"/>
    </row>
    <row r="52" spans="1:14" s="3" customFormat="1" ht="12.2" customHeight="1" thickTop="1" x14ac:dyDescent="0.15">
      <c r="A52" s="38" t="s">
        <v>455</v>
      </c>
      <c r="B52" s="39" t="s">
        <v>289</v>
      </c>
      <c r="C52" s="6">
        <v>37</v>
      </c>
      <c r="D52" s="39" t="s">
        <v>653</v>
      </c>
      <c r="E52" s="39"/>
      <c r="F52" s="41">
        <f>F51+F32</f>
        <v>1885541.31</v>
      </c>
      <c r="G52" s="41">
        <f>G51+G32</f>
        <v>29841.84</v>
      </c>
      <c r="H52" s="41">
        <f>H51+H32</f>
        <v>0</v>
      </c>
      <c r="I52" s="41">
        <f>I51+I32</f>
        <v>0</v>
      </c>
      <c r="J52" s="41">
        <f>J51+J32</f>
        <v>1641068.17</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17026920</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17026920</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54391</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v>18835.3</v>
      </c>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73226.3</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c r="G96" s="18"/>
      <c r="H96" s="18"/>
      <c r="I96" s="18"/>
      <c r="J96" s="18">
        <v>5491.33</v>
      </c>
      <c r="K96" s="24" t="s">
        <v>288</v>
      </c>
      <c r="L96" s="24" t="s">
        <v>288</v>
      </c>
      <c r="M96" s="8"/>
      <c r="N96" s="264"/>
    </row>
    <row r="97" spans="1:14" s="3" customFormat="1" ht="12.2" customHeight="1" x14ac:dyDescent="0.15">
      <c r="A97" s="1" t="s">
        <v>503</v>
      </c>
      <c r="B97" s="2" t="s">
        <v>315</v>
      </c>
      <c r="C97" s="6">
        <v>12</v>
      </c>
      <c r="D97" s="2" t="s">
        <v>430</v>
      </c>
      <c r="E97" s="6">
        <v>1600</v>
      </c>
      <c r="F97" s="24" t="s">
        <v>288</v>
      </c>
      <c r="G97" s="18">
        <f>37594.59</f>
        <v>37594.589999999997</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125245.42</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125245.42</v>
      </c>
      <c r="G111" s="41">
        <f>SUM(G96:G110)</f>
        <v>37594.589999999997</v>
      </c>
      <c r="H111" s="41">
        <f>SUM(H96:H110)</f>
        <v>0</v>
      </c>
      <c r="I111" s="41">
        <f>SUM(I96:I110)</f>
        <v>0</v>
      </c>
      <c r="J111" s="41">
        <f>SUM(J96:J110)</f>
        <v>5491.33</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17225391.720000003</v>
      </c>
      <c r="G112" s="41">
        <f>G60+G111</f>
        <v>37594.589999999997</v>
      </c>
      <c r="H112" s="41">
        <f>H60+H79+H94+H111</f>
        <v>0</v>
      </c>
      <c r="I112" s="41">
        <f>I60+I111</f>
        <v>0</v>
      </c>
      <c r="J112" s="41">
        <f>J60+J111</f>
        <v>5491.33</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5042665.4800000004</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2151705.9900000002</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14104.94</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7208476.4100000011</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231529.28</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127187.98</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f>4510.49</f>
        <v>4510.49</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t="s">
        <v>286</v>
      </c>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358717.26</v>
      </c>
      <c r="G136" s="41">
        <f>SUM(G123:G135)</f>
        <v>4510.49</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7567193.6700000009</v>
      </c>
      <c r="G140" s="41">
        <f>G121+SUM(G136:G137)</f>
        <v>4510.49</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f>98991.08</f>
        <v>98991.08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f>42717.88+1460.02+20897.44+54385.86</f>
        <v>119461.2</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f>304255.25</f>
        <v>304255.25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f>259363.53</f>
        <v>259363.53</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70132.990000000005</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t="s">
        <v>286</v>
      </c>
      <c r="G161" s="18"/>
      <c r="H161" s="18"/>
      <c r="I161" s="18">
        <v>316629.68</v>
      </c>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v>0</v>
      </c>
      <c r="G162" s="24" t="s">
        <v>288</v>
      </c>
      <c r="H162" s="18">
        <v>64497.58</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70132.990000000005</v>
      </c>
      <c r="G163" s="41">
        <f>SUM(G150:G162)</f>
        <v>304255.25</v>
      </c>
      <c r="H163" s="41">
        <f>SUM(H150:H162)</f>
        <v>542313.39</v>
      </c>
      <c r="I163" s="41">
        <f>SUM(I150:I162)</f>
        <v>316629.68</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70132.990000000005</v>
      </c>
      <c r="G170" s="41">
        <f>G147+G163+SUM(G164:G169)</f>
        <v>304255.25</v>
      </c>
      <c r="H170" s="41">
        <f>H147+H163+SUM(H164:H169)</f>
        <v>542313.39</v>
      </c>
      <c r="I170" s="41">
        <f>I147+I163+SUM(I164:I169)</f>
        <v>316629.68</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c r="J180" s="18">
        <v>350000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350000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f>234000+39180</f>
        <v>273180</v>
      </c>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273180</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273180</v>
      </c>
      <c r="G193" s="41">
        <f>G184+SUM(G189:G192)</f>
        <v>0</v>
      </c>
      <c r="H193" s="41">
        <f>+H184+SUM(H189:H192)</f>
        <v>0</v>
      </c>
      <c r="I193" s="41">
        <f>I178+I184+SUM(I189:I192)</f>
        <v>0</v>
      </c>
      <c r="J193" s="41">
        <f>J184</f>
        <v>350000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25135898.380000003</v>
      </c>
      <c r="G194" s="47">
        <f>G112+G140+G170+G193</f>
        <v>346360.33</v>
      </c>
      <c r="H194" s="47">
        <f>H112+H140+H170+H193</f>
        <v>542313.39</v>
      </c>
      <c r="I194" s="47">
        <f>I112+I140+I170+I193</f>
        <v>316629.68</v>
      </c>
      <c r="J194" s="47">
        <f>J112+J140+J193</f>
        <v>355491.33</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f>3668.34+98890.94+1524467.04+309249.82+140464.45+37853.3+24233.75</f>
        <v>2138827.64</v>
      </c>
      <c r="G198" s="18">
        <f>15940.2+442351.49+141924.25+568.78+11225.66+3544.06+54+1002+429+263.58+4173.02+1222.66+8033.71+117522.17+34871.87+18459.68+276392.34+72088.45+13951.72</f>
        <v>1164018.6400000001</v>
      </c>
      <c r="H198" s="18">
        <f>9996.23+3935.97</f>
        <v>13932.199999999999</v>
      </c>
      <c r="I198" s="18">
        <f>17505.19+7398.28+1014.53+849.88+11506.93+2941.56+546.27+12195.39+3704.59+369.28+1221.42+649.17+2018.53+594.93+785.4+525.63+32315.24+3427.35+2395.05+18.78</f>
        <v>101983.4</v>
      </c>
      <c r="J198" s="18">
        <f>2517.95</f>
        <v>2517.9499999999998</v>
      </c>
      <c r="K198" s="18"/>
      <c r="L198" s="19">
        <f>SUM(F198:K198)</f>
        <v>3421279.8300000005</v>
      </c>
      <c r="M198" s="8"/>
      <c r="N198" s="264"/>
    </row>
    <row r="199" spans="1:14" s="3" customFormat="1" ht="12.2" customHeight="1" x14ac:dyDescent="0.15">
      <c r="A199" s="1" t="s">
        <v>439</v>
      </c>
      <c r="B199" s="2" t="s">
        <v>341</v>
      </c>
      <c r="C199" s="2" t="s">
        <v>291</v>
      </c>
      <c r="D199" s="2" t="s">
        <v>431</v>
      </c>
      <c r="E199" s="6">
        <v>1200</v>
      </c>
      <c r="F199" s="18">
        <f>17492.2+214872.67+106000.18+360586.63+148346.22+777.5+472.5+2130+5273.75+8905+22126.36</f>
        <v>886983.01</v>
      </c>
      <c r="G199" s="18">
        <f>176250.11+82169.58+2978.32+822+330+1847.26+862.9+4436.13+43852.5+19261.15+3887.47+79939.5+34772.4</f>
        <v>451409.32000000007</v>
      </c>
      <c r="H199" s="18">
        <f>85764.84+49039.03+16314.2</f>
        <v>151118.07</v>
      </c>
      <c r="I199" s="18">
        <f>4890.29+1377.81+180.8+81.09</f>
        <v>6529.9900000000007</v>
      </c>
      <c r="J199" s="18">
        <f>247.5+1128.85+2940.55+1277.4</f>
        <v>5594.2999999999993</v>
      </c>
      <c r="K199" s="18"/>
      <c r="L199" s="19">
        <f>SUM(F199:K199)</f>
        <v>1501634.6900000002</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f>35475.05+102750.18+58757.27+64248.08+76834.92+119326.33+67373.54+64600.12+38638.64+28803.54</f>
        <v>656807.67000000004</v>
      </c>
      <c r="G203" s="18">
        <f>13429.54+4000+1137.48+72+274.94+8017.12+18500+3000+1033.44+102+385.68+3685.48+4796.48+229.5+10721.06+11754.38+29439.11+64518.87+42567.48+516.64+72+36+283.76+173.66+7745.88+4798.56+16811.58+11818.8+9857.41+36+77.7+1628.1+3346.1</f>
        <v>274866.75</v>
      </c>
      <c r="H203" s="18">
        <f>255.44+13330.85+3328.5</f>
        <v>16914.79</v>
      </c>
      <c r="I203" s="18">
        <f>362.31+230.01+493.04+594.39+522.25+522.25+2188.61+527.2+862.75</f>
        <v>6302.81</v>
      </c>
      <c r="J203" s="18"/>
      <c r="K203" s="18">
        <f>4535.3</f>
        <v>4535.3</v>
      </c>
      <c r="L203" s="19">
        <f t="shared" ref="L203:L209" si="0">SUM(F203:K203)</f>
        <v>959427.32000000018</v>
      </c>
      <c r="M203" s="8"/>
      <c r="N203" s="264"/>
    </row>
    <row r="204" spans="1:14" s="3" customFormat="1" ht="12.2" customHeight="1" x14ac:dyDescent="0.15">
      <c r="A204" s="1" t="s">
        <v>443</v>
      </c>
      <c r="B204" s="2" t="s">
        <v>341</v>
      </c>
      <c r="C204" s="2" t="s">
        <v>295</v>
      </c>
      <c r="D204" s="2" t="s">
        <v>431</v>
      </c>
      <c r="E204" s="6">
        <v>2200</v>
      </c>
      <c r="F204" s="18">
        <f>69183.92+50742.77+58500</f>
        <v>178426.69</v>
      </c>
      <c r="G204" s="18">
        <f>17688.38+516.72+36+186.02+4983.03+12657.4+8883.57+23880.4+2256.56+18+36+104.99+156.8+3746.34+4117.93+4373.07+10702.8</f>
        <v>94344.010000000024</v>
      </c>
      <c r="H204" s="18">
        <f>18079.5+18743.82+1470.5+6256.65+8200.59+5850</f>
        <v>58601.06</v>
      </c>
      <c r="I204" s="18">
        <f>736.98-136+6879.38+3421.51+927.04+104.98+6703+1428.85</f>
        <v>20065.739999999998</v>
      </c>
      <c r="J204" s="18">
        <f>1009.95+5183+11625.96+1598+852.822+2485.85+6173.77</f>
        <v>28929.351999999999</v>
      </c>
      <c r="K204" s="18">
        <f>29809.56</f>
        <v>29809.56</v>
      </c>
      <c r="L204" s="19">
        <f t="shared" si="0"/>
        <v>410176.41200000001</v>
      </c>
      <c r="M204" s="8"/>
      <c r="N204" s="264"/>
    </row>
    <row r="205" spans="1:14" s="3" customFormat="1" ht="12.2" customHeight="1" x14ac:dyDescent="0.15">
      <c r="A205" s="1" t="s">
        <v>444</v>
      </c>
      <c r="B205" s="2" t="s">
        <v>341</v>
      </c>
      <c r="C205" s="2" t="s">
        <v>296</v>
      </c>
      <c r="D205" s="2" t="s">
        <v>431</v>
      </c>
      <c r="E205" s="6">
        <v>2300</v>
      </c>
      <c r="F205" s="18">
        <f>SUM(3200+2500+198094.9+100499.88+105308.84)/3</f>
        <v>136534.54</v>
      </c>
      <c r="G205" s="18">
        <f>(359.25+11.17+108715.14+6636.82+198+1057.66+22574.04+7437.3+39012.49+11225.76)/3</f>
        <v>65742.543333333335</v>
      </c>
      <c r="H205" s="18">
        <f>(12000+68600.03+6642.32+4212.53+47.82+4564.94+2492.47+790.8+6560.87+2551.55+1418.3)/3</f>
        <v>36627.210000000006</v>
      </c>
      <c r="I205" s="18">
        <f>3578.68/3</f>
        <v>1192.8933333333332</v>
      </c>
      <c r="J205" s="18">
        <f>3864/3</f>
        <v>1288</v>
      </c>
      <c r="K205" s="18">
        <f>(5785.76+4982.3+4890.67+975.19)/3</f>
        <v>5544.64</v>
      </c>
      <c r="L205" s="19">
        <f t="shared" si="0"/>
        <v>246929.82666666669</v>
      </c>
      <c r="M205" s="8"/>
      <c r="N205" s="264"/>
    </row>
    <row r="206" spans="1:14" s="3" customFormat="1" ht="12.2" customHeight="1" x14ac:dyDescent="0.15">
      <c r="A206" s="1" t="s">
        <v>445</v>
      </c>
      <c r="B206" s="2" t="s">
        <v>341</v>
      </c>
      <c r="C206" s="2" t="s">
        <v>297</v>
      </c>
      <c r="D206" s="2" t="s">
        <v>431</v>
      </c>
      <c r="E206" s="6">
        <v>2400</v>
      </c>
      <c r="F206" s="18">
        <f>101474.88+87204+73250.12+73229.9+45240</f>
        <v>380398.9</v>
      </c>
      <c r="G206" s="18">
        <f>53063.05+27167.4+1232.7+1630.82+144+51+660.16+285.45+17655.54+9888.38+39280.78+20575.62</f>
        <v>171634.90000000002</v>
      </c>
      <c r="H206" s="18">
        <f>1590+458+8790.05+4221.72+1415.95+455+88+399</f>
        <v>17417.72</v>
      </c>
      <c r="I206" s="18">
        <f>768.98+351.72+227.15</f>
        <v>1347.8500000000001</v>
      </c>
      <c r="J206" s="18">
        <f>9995.19+6970.02</f>
        <v>16965.21</v>
      </c>
      <c r="K206" s="18">
        <f>560+795</f>
        <v>1355</v>
      </c>
      <c r="L206" s="19">
        <f t="shared" si="0"/>
        <v>589119.57999999996</v>
      </c>
      <c r="M206" s="8"/>
      <c r="N206" s="264"/>
    </row>
    <row r="207" spans="1:14" s="3" customFormat="1" ht="12.2" customHeight="1" x14ac:dyDescent="0.15">
      <c r="A207" s="1" t="s">
        <v>446</v>
      </c>
      <c r="B207" s="2" t="s">
        <v>341</v>
      </c>
      <c r="C207" s="2" t="s">
        <v>298</v>
      </c>
      <c r="D207" s="2" t="s">
        <v>431</v>
      </c>
      <c r="E207" s="6">
        <v>2500</v>
      </c>
      <c r="F207" s="18">
        <f>(81900+47320)/3</f>
        <v>43073.333333333336</v>
      </c>
      <c r="G207" s="18">
        <f>(44556.38+2446.54+72+346.28+9603.62+14433.9)/3</f>
        <v>23819.573333333334</v>
      </c>
      <c r="H207" s="18">
        <f>(249+11598+500+300)/3</f>
        <v>4215.666666666667</v>
      </c>
      <c r="I207" s="18">
        <f>754.52/3</f>
        <v>251.50666666666666</v>
      </c>
      <c r="J207" s="18"/>
      <c r="K207" s="18"/>
      <c r="L207" s="19">
        <f t="shared" si="0"/>
        <v>71360.080000000016</v>
      </c>
      <c r="M207" s="8"/>
      <c r="N207" s="264"/>
    </row>
    <row r="208" spans="1:14" s="3" customFormat="1" ht="12.2" customHeight="1" x14ac:dyDescent="0.15">
      <c r="A208" s="1" t="s">
        <v>447</v>
      </c>
      <c r="B208" s="2" t="s">
        <v>341</v>
      </c>
      <c r="C208" s="2" t="s">
        <v>299</v>
      </c>
      <c r="D208" s="2" t="s">
        <v>431</v>
      </c>
      <c r="E208" s="6">
        <v>2600</v>
      </c>
      <c r="F208" s="18">
        <f>(73400.08+109572.28+3486.38+19440.78)/2+131616.57</f>
        <v>234566.33000000002</v>
      </c>
      <c r="G208" s="18">
        <f>(30080.29+1649.56+36+90+184+270.37+13860.4+17579.08)/2+37587.1+1598.32+120+299.49+12899.36+18761.33</f>
        <v>103140.45000000001</v>
      </c>
      <c r="H208" s="18">
        <f>(430+1000)/2+719.05+50552.97+208+242+3697+2435+15308+9316+5810.26+3762.25+4190+1586+44723.36+56433.65+21918.43+7265.5</f>
        <v>228882.47</v>
      </c>
      <c r="I208" s="18">
        <f>33617.82+3460.66+6596.52+44157.34+17548.89+3714.05+30754.02+20920.97+420+360</f>
        <v>161550.26999999999</v>
      </c>
      <c r="J208" s="18">
        <f>9855.71</f>
        <v>9855.7099999999991</v>
      </c>
      <c r="K208" s="18"/>
      <c r="L208" s="19">
        <f t="shared" si="0"/>
        <v>737995.23</v>
      </c>
      <c r="M208" s="8"/>
      <c r="N208" s="264"/>
    </row>
    <row r="209" spans="1:14" s="3" customFormat="1" ht="12.2" customHeight="1" x14ac:dyDescent="0.15">
      <c r="A209" s="1" t="s">
        <v>448</v>
      </c>
      <c r="B209" s="2" t="s">
        <v>341</v>
      </c>
      <c r="C209" s="2" t="s">
        <v>300</v>
      </c>
      <c r="D209" s="2" t="s">
        <v>431</v>
      </c>
      <c r="E209" s="6">
        <v>2700</v>
      </c>
      <c r="F209" s="18"/>
      <c r="G209" s="18"/>
      <c r="H209" s="18">
        <f>1520+240300+98100+98100+824</f>
        <v>438844</v>
      </c>
      <c r="I209" s="18"/>
      <c r="J209" s="18"/>
      <c r="K209" s="18"/>
      <c r="L209" s="19">
        <f t="shared" si="0"/>
        <v>438844</v>
      </c>
      <c r="M209" s="8"/>
      <c r="N209" s="264"/>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4655618.1133333333</v>
      </c>
      <c r="G212" s="41">
        <f t="shared" si="1"/>
        <v>2348976.186666667</v>
      </c>
      <c r="H212" s="41">
        <f t="shared" si="1"/>
        <v>966553.18666666676</v>
      </c>
      <c r="I212" s="41">
        <f t="shared" si="1"/>
        <v>299224.45999999996</v>
      </c>
      <c r="J212" s="41">
        <f t="shared" si="1"/>
        <v>65150.521999999997</v>
      </c>
      <c r="K212" s="41">
        <f t="shared" si="1"/>
        <v>41244.5</v>
      </c>
      <c r="L212" s="41">
        <f t="shared" si="1"/>
        <v>8376766.9686666671</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f>3668.34+92666.55+98890.94+1645543.84+50641.91</f>
        <v>1891411.58</v>
      </c>
      <c r="G216" s="18">
        <f>15940.2+399747.71+568.78+11792.22+54+1038+263.58+4293.22+8033.71+134723.3+18459.68+314582.3+13951.71</f>
        <v>923448.40999999992</v>
      </c>
      <c r="H216" s="18">
        <f>4375.64+998.8</f>
        <v>5374.4400000000005</v>
      </c>
      <c r="I216" s="18">
        <f>12564.52+2000.26+5069.8+893.78+1500+2753.14+4061.22+1674.25+1201.41+1842.54+825.28+761.36+305.27+1249.88+32315.24+6510.56</f>
        <v>75528.509999999995</v>
      </c>
      <c r="J216" s="18">
        <f>500</f>
        <v>500</v>
      </c>
      <c r="K216" s="18">
        <f>2830</f>
        <v>2830</v>
      </c>
      <c r="L216" s="19">
        <f>SUM(F216:K216)</f>
        <v>2899092.94</v>
      </c>
      <c r="M216" s="8"/>
      <c r="N216" s="264"/>
    </row>
    <row r="217" spans="1:14" s="3" customFormat="1" ht="12.2" customHeight="1" x14ac:dyDescent="0.15">
      <c r="A217" s="1" t="s">
        <v>439</v>
      </c>
      <c r="B217" s="2" t="s">
        <v>346</v>
      </c>
      <c r="C217" s="2" t="s">
        <v>291</v>
      </c>
      <c r="D217" s="2" t="s">
        <v>431</v>
      </c>
      <c r="E217" s="6">
        <v>1200</v>
      </c>
      <c r="F217" s="18">
        <f>17492.2+261744.76+224897.4+1182.5+2130+330</f>
        <v>507776.86</v>
      </c>
      <c r="G217" s="18">
        <f>152596.95+2282.56+543+1438.45+35389.92+3887.47+70273.44</f>
        <v>266411.79000000004</v>
      </c>
      <c r="H217" s="18">
        <f>85764.84+114861.52+6925.08</f>
        <v>207551.43999999997</v>
      </c>
      <c r="I217" s="18">
        <f>3729.28+103.93+5934.8</f>
        <v>9768.01</v>
      </c>
      <c r="J217" s="18"/>
      <c r="K217" s="18"/>
      <c r="L217" s="19">
        <f>SUM(F217:K217)</f>
        <v>991508.1</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f>8100+26850</f>
        <v>34950</v>
      </c>
      <c r="G219" s="18">
        <f>619.65+1249.53+3112.28+5183.4</f>
        <v>10164.86</v>
      </c>
      <c r="H219" s="18">
        <f>3127</f>
        <v>3127</v>
      </c>
      <c r="I219" s="18">
        <v>5041.2</v>
      </c>
      <c r="J219" s="18" t="s">
        <v>286</v>
      </c>
      <c r="K219" s="18">
        <v>545</v>
      </c>
      <c r="L219" s="19">
        <f>SUM(F219:K219)</f>
        <v>53828.06</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f>35475.05+108475.74+58500+76834.92+119326.33+32333.98</f>
        <v>430946.02</v>
      </c>
      <c r="G221" s="18">
        <f>13429.54+56603.18+1440.96+72+292.22+7710.47+19628.19+21006.14+36+156.8+4781.38+10702.8+29439.11+64518.87+1000+30+70.9+2550.03+3745.75</f>
        <v>237214.34000000003</v>
      </c>
      <c r="H221" s="18">
        <f>13330.85</f>
        <v>13330.85</v>
      </c>
      <c r="I221" s="18">
        <f>553.69+775.84+522.25+2188.61+527.2</f>
        <v>4567.59</v>
      </c>
      <c r="J221" s="18"/>
      <c r="K221" s="18">
        <f>4535.3</f>
        <v>4535.3</v>
      </c>
      <c r="L221" s="19">
        <f t="shared" ref="L221:L227" si="2">SUM(F221:K221)</f>
        <v>690594.10000000009</v>
      </c>
      <c r="M221" s="8"/>
      <c r="N221" s="264"/>
    </row>
    <row r="222" spans="1:14" s="3" customFormat="1" ht="12.2" customHeight="1" x14ac:dyDescent="0.15">
      <c r="A222" s="1" t="s">
        <v>443</v>
      </c>
      <c r="B222" s="2" t="s">
        <v>346</v>
      </c>
      <c r="C222" s="2" t="s">
        <v>295</v>
      </c>
      <c r="D222" s="2" t="s">
        <v>431</v>
      </c>
      <c r="E222" s="6">
        <v>2200</v>
      </c>
      <c r="F222" s="18">
        <f>69250.12+50742.77</f>
        <v>119992.88999999998</v>
      </c>
      <c r="G222" s="18">
        <f>17688.38+516.76+36+175.14+5202.58+12326.46+8883.57+58500+23878.46+36+104.99+156.8+3746.34+4258.82+4373.07+10702.8</f>
        <v>150586.17000000001</v>
      </c>
      <c r="H222" s="18">
        <f>18079.5+18743.82+1470.5+6256.65+8200.59+5850</f>
        <v>58601.06</v>
      </c>
      <c r="I222" s="18">
        <f>348.79+5409.59+3382.51+1969.1+12919.5</f>
        <v>24029.489999999998</v>
      </c>
      <c r="J222" s="18">
        <f>550+5183+24509.42+709.89+1401.67</f>
        <v>32353.979999999996</v>
      </c>
      <c r="K222" s="18">
        <f>29809.56</f>
        <v>29809.56</v>
      </c>
      <c r="L222" s="19">
        <f t="shared" si="2"/>
        <v>415373.14999999997</v>
      </c>
      <c r="M222" s="8"/>
      <c r="N222" s="264"/>
    </row>
    <row r="223" spans="1:14" s="3" customFormat="1" ht="12.2" customHeight="1" x14ac:dyDescent="0.15">
      <c r="A223" s="1" t="s">
        <v>444</v>
      </c>
      <c r="B223" s="2" t="s">
        <v>346</v>
      </c>
      <c r="C223" s="2" t="s">
        <v>296</v>
      </c>
      <c r="D223" s="2" t="s">
        <v>431</v>
      </c>
      <c r="E223" s="6">
        <v>2300</v>
      </c>
      <c r="F223" s="18">
        <f>SUM(3200+2500+198094.9+100499.88+105308.84)/3</f>
        <v>136534.54</v>
      </c>
      <c r="G223" s="18">
        <f>(359.25+11.17+108715.14+6636.82+198+1057.66+22574.04+7437.3+39012.49+11225.76)/3</f>
        <v>65742.543333333335</v>
      </c>
      <c r="H223" s="18">
        <f>(12000+68600.03+6642.32+4212.53+47.82+4564.94+2492.47+790.8+6560.87+2551.55+1418.3)/3</f>
        <v>36627.210000000006</v>
      </c>
      <c r="I223" s="18">
        <f>3578.68/3</f>
        <v>1192.8933333333332</v>
      </c>
      <c r="J223" s="18">
        <f>3864/3</f>
        <v>1288</v>
      </c>
      <c r="K223" s="18">
        <f>(5785.76+4982.3+4890.67+975.19)/3</f>
        <v>5544.64</v>
      </c>
      <c r="L223" s="19">
        <f t="shared" si="2"/>
        <v>246929.82666666669</v>
      </c>
      <c r="M223" s="8"/>
      <c r="N223" s="264"/>
    </row>
    <row r="224" spans="1:14" s="3" customFormat="1" ht="12.2" customHeight="1" x14ac:dyDescent="0.15">
      <c r="A224" s="1" t="s">
        <v>445</v>
      </c>
      <c r="B224" s="2" t="s">
        <v>346</v>
      </c>
      <c r="C224" s="2" t="s">
        <v>297</v>
      </c>
      <c r="D224" s="2" t="s">
        <v>431</v>
      </c>
      <c r="E224" s="6">
        <v>2400</v>
      </c>
      <c r="F224" s="18">
        <f>98400.12+73775+62202.69</f>
        <v>234377.81</v>
      </c>
      <c r="G224" s="18">
        <f>30174+1232.72+108+575.68+18140.2+35979.6</f>
        <v>86210.200000000012</v>
      </c>
      <c r="H224" s="18">
        <f>6654.65+11184.86+1500</f>
        <v>19339.510000000002</v>
      </c>
      <c r="I224" s="18">
        <f>255</f>
        <v>255</v>
      </c>
      <c r="J224" s="18">
        <f>12749</f>
        <v>12749</v>
      </c>
      <c r="K224" s="18">
        <f>3620+1603.5</f>
        <v>5223.5</v>
      </c>
      <c r="L224" s="19">
        <f t="shared" si="2"/>
        <v>358155.02</v>
      </c>
      <c r="M224" s="8"/>
      <c r="N224" s="264"/>
    </row>
    <row r="225" spans="1:14" s="3" customFormat="1" ht="12.2" customHeight="1" x14ac:dyDescent="0.15">
      <c r="A225" s="1" t="s">
        <v>446</v>
      </c>
      <c r="B225" s="2" t="s">
        <v>346</v>
      </c>
      <c r="C225" s="2" t="s">
        <v>298</v>
      </c>
      <c r="D225" s="2" t="s">
        <v>431</v>
      </c>
      <c r="E225" s="6">
        <v>2500</v>
      </c>
      <c r="F225" s="18">
        <f>(81900+47320)/3</f>
        <v>43073.333333333336</v>
      </c>
      <c r="G225" s="18">
        <f>(44556.38+2446.54+72+346.28+9603.62+14433.9)/3</f>
        <v>23819.573333333334</v>
      </c>
      <c r="H225" s="18">
        <f>(249+11598+500+300)/3</f>
        <v>4215.666666666667</v>
      </c>
      <c r="I225" s="18">
        <f>754.52/3</f>
        <v>251.50666666666666</v>
      </c>
      <c r="J225" s="18"/>
      <c r="K225" s="18"/>
      <c r="L225" s="19">
        <f t="shared" si="2"/>
        <v>71360.080000000016</v>
      </c>
      <c r="M225" s="8"/>
      <c r="N225" s="264"/>
    </row>
    <row r="226" spans="1:14" s="3" customFormat="1" ht="12.2" customHeight="1" x14ac:dyDescent="0.15">
      <c r="A226" s="1" t="s">
        <v>447</v>
      </c>
      <c r="B226" s="2" t="s">
        <v>346</v>
      </c>
      <c r="C226" s="2" t="s">
        <v>299</v>
      </c>
      <c r="D226" s="2" t="s">
        <v>431</v>
      </c>
      <c r="E226" s="6">
        <v>2600</v>
      </c>
      <c r="F226" s="18">
        <f>(73400.08+109572.28+3486.38+19440.78)/2+131616.26</f>
        <v>234566.02000000002</v>
      </c>
      <c r="G226" s="18">
        <f>(30080.29+1649.56+36+90+184+270.37+13860.4+17579.08)/2+37587.12+1598.36+120+299.46+9888.69+14700.95</f>
        <v>96069.430000000008</v>
      </c>
      <c r="H226" s="18">
        <f>(430+1000)/2+656.54+50552.97+2318+3049+25525+6416+4292.5+1972.13+84869.48+36278+7265.5+720</f>
        <v>224630.12</v>
      </c>
      <c r="I226" s="18">
        <f>47051.48+129537.42+15420.4+41543.48</f>
        <v>233552.78</v>
      </c>
      <c r="J226" s="18">
        <v>9855.7099999999991</v>
      </c>
      <c r="K226" s="18"/>
      <c r="L226" s="19">
        <f t="shared" si="2"/>
        <v>798674.06</v>
      </c>
      <c r="M226" s="8"/>
      <c r="N226" s="264"/>
    </row>
    <row r="227" spans="1:14" s="3" customFormat="1" ht="12.2" customHeight="1" x14ac:dyDescent="0.15">
      <c r="A227" s="1" t="s">
        <v>448</v>
      </c>
      <c r="B227" s="2" t="s">
        <v>346</v>
      </c>
      <c r="C227" s="2" t="s">
        <v>300</v>
      </c>
      <c r="D227" s="2" t="s">
        <v>431</v>
      </c>
      <c r="E227" s="6">
        <v>2700</v>
      </c>
      <c r="F227" s="18"/>
      <c r="G227" s="18"/>
      <c r="H227" s="18">
        <f>240300+98100+82</f>
        <v>338482</v>
      </c>
      <c r="I227" s="18"/>
      <c r="J227" s="18"/>
      <c r="K227" s="18"/>
      <c r="L227" s="19">
        <f t="shared" si="2"/>
        <v>338482</v>
      </c>
      <c r="M227" s="8"/>
      <c r="N227" s="264"/>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3633629.0533333337</v>
      </c>
      <c r="G230" s="41">
        <f>SUM(G216:G229)</f>
        <v>1859667.3166666664</v>
      </c>
      <c r="H230" s="41">
        <f>SUM(H216:H229)</f>
        <v>911279.29666666663</v>
      </c>
      <c r="I230" s="41">
        <f>SUM(I216:I229)</f>
        <v>354186.98</v>
      </c>
      <c r="J230" s="41">
        <f>SUM(J216:J229)</f>
        <v>56746.689999999995</v>
      </c>
      <c r="K230" s="41">
        <f t="shared" si="3"/>
        <v>48488</v>
      </c>
      <c r="L230" s="41">
        <f t="shared" si="3"/>
        <v>6863997.3366666678</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c r="G234" s="18"/>
      <c r="H234" s="18">
        <f>2366611.94+234000+1620822.6+3148918.5-42917</f>
        <v>7327436.04</v>
      </c>
      <c r="I234" s="18"/>
      <c r="J234" s="18"/>
      <c r="K234" s="18"/>
      <c r="L234" s="19">
        <f>SUM(F234:K234)</f>
        <v>7327436.04</v>
      </c>
      <c r="M234" s="8"/>
      <c r="N234" s="264"/>
    </row>
    <row r="235" spans="1:14" s="3" customFormat="1" ht="12.2" customHeight="1" x14ac:dyDescent="0.15">
      <c r="A235" s="1" t="s">
        <v>439</v>
      </c>
      <c r="B235" s="2" t="s">
        <v>350</v>
      </c>
      <c r="C235" s="2" t="s">
        <v>291</v>
      </c>
      <c r="D235" s="2" t="s">
        <v>431</v>
      </c>
      <c r="E235" s="6">
        <v>1200</v>
      </c>
      <c r="F235" s="18"/>
      <c r="G235" s="18"/>
      <c r="H235" s="18">
        <f>285567.4+76680+370181.35</f>
        <v>732428.75</v>
      </c>
      <c r="I235" s="18"/>
      <c r="J235" s="18"/>
      <c r="K235" s="18"/>
      <c r="L235" s="19">
        <f>SUM(F235:K235)</f>
        <v>732428.75</v>
      </c>
      <c r="M235" s="8"/>
      <c r="N235" s="264"/>
    </row>
    <row r="236" spans="1:14" s="3" customFormat="1" ht="12.2" customHeight="1" x14ac:dyDescent="0.15">
      <c r="A236" s="1" t="s">
        <v>440</v>
      </c>
      <c r="B236" s="2" t="s">
        <v>350</v>
      </c>
      <c r="C236" s="2" t="s">
        <v>292</v>
      </c>
      <c r="D236" s="2" t="s">
        <v>431</v>
      </c>
      <c r="E236" s="6">
        <v>1300</v>
      </c>
      <c r="F236" s="18"/>
      <c r="G236" s="18"/>
      <c r="H236" s="18">
        <v>1550</v>
      </c>
      <c r="I236" s="18"/>
      <c r="J236" s="18"/>
      <c r="K236" s="18"/>
      <c r="L236" s="19">
        <f>SUM(F236:K236)</f>
        <v>1550</v>
      </c>
      <c r="M236" s="8"/>
      <c r="N236" s="264"/>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4"/>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4"/>
    </row>
    <row r="241" spans="1:14" s="3" customFormat="1" ht="12.2" customHeight="1" x14ac:dyDescent="0.15">
      <c r="A241" s="1" t="s">
        <v>444</v>
      </c>
      <c r="B241" s="2" t="s">
        <v>350</v>
      </c>
      <c r="C241" s="2" t="s">
        <v>296</v>
      </c>
      <c r="D241" s="2" t="s">
        <v>431</v>
      </c>
      <c r="E241" s="6">
        <v>2300</v>
      </c>
      <c r="F241" s="18">
        <f>SUM(3200+2500+198094.9+100499.88+105308.84)/3</f>
        <v>136534.54</v>
      </c>
      <c r="G241" s="18">
        <f>(359.25+11.17+108715.14+6636.82+198+1057.66+22574.04+7437.3+39012.49+11225.76)/3</f>
        <v>65742.543333333335</v>
      </c>
      <c r="H241" s="18">
        <f>(12000+68600.03+6642.32+4212.53+47.82+4564.94+2492.47+790.8+6560.87+2551.55+1418.3)/3</f>
        <v>36627.210000000006</v>
      </c>
      <c r="I241" s="18">
        <f>3578.68/3</f>
        <v>1192.8933333333332</v>
      </c>
      <c r="J241" s="18">
        <f>3864/3</f>
        <v>1288</v>
      </c>
      <c r="K241" s="18">
        <f>(5785.76+4982.3+4890.67+975.19)/3</f>
        <v>5544.64</v>
      </c>
      <c r="L241" s="19">
        <f t="shared" si="4"/>
        <v>246929.82666666669</v>
      </c>
      <c r="M241" s="8"/>
      <c r="N241" s="264"/>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4"/>
    </row>
    <row r="243" spans="1:14" s="3" customFormat="1" ht="12.2" customHeight="1" x14ac:dyDescent="0.15">
      <c r="A243" s="1" t="s">
        <v>446</v>
      </c>
      <c r="B243" s="2" t="s">
        <v>350</v>
      </c>
      <c r="C243" s="2" t="s">
        <v>298</v>
      </c>
      <c r="D243" s="2" t="s">
        <v>431</v>
      </c>
      <c r="E243" s="6">
        <v>2500</v>
      </c>
      <c r="F243" s="18">
        <f>(81900+47320)/3</f>
        <v>43073.333333333336</v>
      </c>
      <c r="G243" s="18">
        <f>(44556.38+2446.54+72+346.28+9603.62+14433.9)/3</f>
        <v>23819.573333333334</v>
      </c>
      <c r="H243" s="18">
        <f>(249+11598+500+300)/3</f>
        <v>4215.666666666667</v>
      </c>
      <c r="I243" s="18">
        <f>754.52/3</f>
        <v>251.50666666666666</v>
      </c>
      <c r="J243" s="18"/>
      <c r="K243" s="18"/>
      <c r="L243" s="19">
        <f t="shared" si="4"/>
        <v>71360.080000000016</v>
      </c>
      <c r="M243" s="8"/>
      <c r="N243" s="264"/>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4"/>
    </row>
    <row r="245" spans="1:14" s="3" customFormat="1" ht="12.2" customHeight="1" x14ac:dyDescent="0.15">
      <c r="A245" s="1" t="s">
        <v>448</v>
      </c>
      <c r="B245" s="2" t="s">
        <v>350</v>
      </c>
      <c r="C245" s="2" t="s">
        <v>300</v>
      </c>
      <c r="D245" s="2" t="s">
        <v>431</v>
      </c>
      <c r="E245" s="6">
        <v>2700</v>
      </c>
      <c r="F245" s="18"/>
      <c r="G245" s="18"/>
      <c r="H245" s="18">
        <f>170070+100245</f>
        <v>270315</v>
      </c>
      <c r="I245" s="18"/>
      <c r="J245" s="18"/>
      <c r="K245" s="18"/>
      <c r="L245" s="19">
        <f t="shared" si="4"/>
        <v>270315</v>
      </c>
      <c r="M245" s="8"/>
      <c r="N245" s="264"/>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179607.87333333335</v>
      </c>
      <c r="G248" s="41">
        <f t="shared" si="5"/>
        <v>89562.116666666669</v>
      </c>
      <c r="H248" s="41">
        <f t="shared" si="5"/>
        <v>8372572.666666667</v>
      </c>
      <c r="I248" s="41">
        <f t="shared" si="5"/>
        <v>1444.3999999999999</v>
      </c>
      <c r="J248" s="41">
        <f t="shared" si="5"/>
        <v>1288</v>
      </c>
      <c r="K248" s="41">
        <f t="shared" si="5"/>
        <v>5544.64</v>
      </c>
      <c r="L248" s="41">
        <f t="shared" si="5"/>
        <v>8650019.6966666672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f>38920+39180</f>
        <v>78100</v>
      </c>
      <c r="I256" s="18"/>
      <c r="J256" s="18"/>
      <c r="K256" s="18"/>
      <c r="L256" s="19">
        <f t="shared" si="6"/>
        <v>78100</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78100</v>
      </c>
      <c r="I257" s="41">
        <f t="shared" si="7"/>
        <v>0</v>
      </c>
      <c r="J257" s="41">
        <f t="shared" si="7"/>
        <v>0</v>
      </c>
      <c r="K257" s="41">
        <f t="shared" si="7"/>
        <v>0</v>
      </c>
      <c r="L257" s="41">
        <f>SUM(F257:K257)</f>
        <v>78100</v>
      </c>
      <c r="M257" s="8"/>
      <c r="N257" s="264"/>
    </row>
    <row r="258" spans="1:14" s="3" customFormat="1" ht="12.2" customHeight="1" thickTop="1" x14ac:dyDescent="0.15">
      <c r="A258" s="38" t="s">
        <v>462</v>
      </c>
      <c r="B258" s="40">
        <v>10</v>
      </c>
      <c r="C258" s="40">
        <v>8</v>
      </c>
      <c r="D258" s="39" t="s">
        <v>431</v>
      </c>
      <c r="E258" s="40"/>
      <c r="F258" s="41">
        <f t="shared" ref="F258:L258" si="8">F212+F230+F248+F257</f>
        <v>8468855.040000001</v>
      </c>
      <c r="G258" s="41">
        <f t="shared" si="8"/>
        <v>4298205.62</v>
      </c>
      <c r="H258" s="41">
        <f t="shared" si="8"/>
        <v>10328505.15</v>
      </c>
      <c r="I258" s="41">
        <f t="shared" si="8"/>
        <v>654855.84</v>
      </c>
      <c r="J258" s="41">
        <f t="shared" si="8"/>
        <v>123185.212</v>
      </c>
      <c r="K258" s="41">
        <f t="shared" si="8"/>
        <v>95277.14</v>
      </c>
      <c r="L258" s="41">
        <f t="shared" si="8"/>
        <v>23968884.002000004</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710000</v>
      </c>
      <c r="L261" s="19">
        <f>SUM(F261:K261)</f>
        <v>710000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85555</v>
      </c>
      <c r="L262" s="19">
        <f>SUM(F262:K262)</f>
        <v>85555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350000</v>
      </c>
      <c r="L267" s="19">
        <f t="shared" si="9"/>
        <v>350000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1145555</v>
      </c>
      <c r="L271" s="41">
        <f t="shared" si="9"/>
        <v>1145555</v>
      </c>
      <c r="M271" s="8"/>
      <c r="N271" s="264"/>
    </row>
    <row r="272" spans="1:14" s="34" customFormat="1" ht="12.2" customHeight="1" thickTop="1" x14ac:dyDescent="0.2">
      <c r="A272" s="43" t="s">
        <v>464</v>
      </c>
      <c r="B272" s="40">
        <v>10</v>
      </c>
      <c r="C272" s="40">
        <v>18</v>
      </c>
      <c r="D272" s="39" t="s">
        <v>431</v>
      </c>
      <c r="E272" s="40"/>
      <c r="F272" s="42">
        <f t="shared" ref="F272:L272" si="11">F258+F271</f>
        <v>8468855.040000001</v>
      </c>
      <c r="G272" s="42">
        <f t="shared" si="11"/>
        <v>4298205.62</v>
      </c>
      <c r="H272" s="42">
        <f t="shared" si="11"/>
        <v>10328505.15</v>
      </c>
      <c r="I272" s="42">
        <f t="shared" si="11"/>
        <v>654855.84</v>
      </c>
      <c r="J272" s="42">
        <f t="shared" si="11"/>
        <v>123185.212</v>
      </c>
      <c r="K272" s="42">
        <f t="shared" si="11"/>
        <v>1240832.1399999999</v>
      </c>
      <c r="L272" s="42">
        <f t="shared" si="11"/>
        <v>25114439.002000004</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f>69121.25+7437.5+5731.25+7720+9925</f>
        <v>99935</v>
      </c>
      <c r="G277" s="18">
        <f>5225.12+2547.6+1892.85+1451.32+591.08+562.79+759.24+1722.65+0.16</f>
        <v>14752.809999999998</v>
      </c>
      <c r="H277" s="18">
        <f>1447.5+5113.84+4847.28</f>
        <v>11408.619999999999</v>
      </c>
      <c r="I277" s="18">
        <f>5923.44+3686.18+1237.5+16806.69+331.23+268.75+1296.85+65.61</f>
        <v>29616.249999999996</v>
      </c>
      <c r="J277" s="18">
        <f>3399.65/2</f>
        <v>1699.825</v>
      </c>
      <c r="K277" s="18"/>
      <c r="L277" s="19">
        <f>SUM(F277:K277)</f>
        <v>157412.505</v>
      </c>
      <c r="M277" s="8"/>
      <c r="N277" s="264"/>
    </row>
    <row r="278" spans="1:14" s="3" customFormat="1" ht="12.2" customHeight="1" x14ac:dyDescent="0.15">
      <c r="A278" s="1" t="s">
        <v>439</v>
      </c>
      <c r="B278" s="2" t="s">
        <v>357</v>
      </c>
      <c r="C278" s="2" t="s">
        <v>291</v>
      </c>
      <c r="D278" s="2" t="s">
        <v>431</v>
      </c>
      <c r="E278" s="6">
        <v>1200</v>
      </c>
      <c r="F278" s="18">
        <f>4740+105016.03+42527.97</f>
        <v>152284</v>
      </c>
      <c r="G278" s="18">
        <f>362.61+843.72+3253.36+7547.54+7776.84+19145.6+4000</f>
        <v>42929.67</v>
      </c>
      <c r="H278" s="18"/>
      <c r="I278" s="18"/>
      <c r="J278" s="18"/>
      <c r="K278" s="18"/>
      <c r="L278" s="19">
        <f>SUM(F278:K278)</f>
        <v>195213.66999999998</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f>24613.68/2</f>
        <v>12306.84</v>
      </c>
      <c r="G282" s="18">
        <f>SUM(9334.75+1882.95+2749.35)/2</f>
        <v>6983.5250000000005</v>
      </c>
      <c r="H282" s="18">
        <f>3800/2</f>
        <v>1900</v>
      </c>
      <c r="I282" s="18"/>
      <c r="J282" s="18"/>
      <c r="K282" s="18"/>
      <c r="L282" s="19">
        <f t="shared" ref="L282:L288" si="12">SUM(F282:K282)</f>
        <v>21190.365000000002</v>
      </c>
      <c r="M282" s="8"/>
      <c r="N282" s="264"/>
    </row>
    <row r="283" spans="1:14" s="3" customFormat="1" ht="12.2" customHeight="1" x14ac:dyDescent="0.15">
      <c r="A283" s="1" t="s">
        <v>443</v>
      </c>
      <c r="B283" s="2" t="s">
        <v>357</v>
      </c>
      <c r="C283" s="2" t="s">
        <v>295</v>
      </c>
      <c r="D283" s="2" t="s">
        <v>431</v>
      </c>
      <c r="E283" s="6">
        <v>2200</v>
      </c>
      <c r="F283" s="18">
        <f>465/2</f>
        <v>232.5</v>
      </c>
      <c r="G283" s="18">
        <f>35.57/2</f>
        <v>17.785</v>
      </c>
      <c r="H283" s="18">
        <f>4275+2782.72</f>
        <v>7057.7199999999993</v>
      </c>
      <c r="I283" s="18"/>
      <c r="J283" s="18"/>
      <c r="K283" s="18"/>
      <c r="L283" s="19">
        <f t="shared" si="12"/>
        <v>7308.0049999999992</v>
      </c>
      <c r="M283" s="8"/>
      <c r="N283" s="264"/>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4"/>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4"/>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4"/>
    </row>
    <row r="287" spans="1:14" s="3" customFormat="1" ht="12.2" customHeight="1" x14ac:dyDescent="0.15">
      <c r="A287" s="1" t="s">
        <v>447</v>
      </c>
      <c r="B287" s="2" t="s">
        <v>357</v>
      </c>
      <c r="C287" s="2" t="s">
        <v>299</v>
      </c>
      <c r="D287" s="2" t="s">
        <v>431</v>
      </c>
      <c r="E287" s="6">
        <v>2600</v>
      </c>
      <c r="F287" s="18"/>
      <c r="G287" s="18"/>
      <c r="H287" s="18"/>
      <c r="I287" s="18">
        <f>10227.08/2</f>
        <v>5113.54</v>
      </c>
      <c r="J287" s="18"/>
      <c r="K287" s="18"/>
      <c r="L287" s="19">
        <f t="shared" si="12"/>
        <v>5113.54</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264758.34000000003</v>
      </c>
      <c r="G291" s="42">
        <f t="shared" si="13"/>
        <v>64683.79</v>
      </c>
      <c r="H291" s="42">
        <f t="shared" si="13"/>
        <v>20366.339999999997</v>
      </c>
      <c r="I291" s="42">
        <f t="shared" si="13"/>
        <v>34729.789999999994</v>
      </c>
      <c r="J291" s="42">
        <f t="shared" si="13"/>
        <v>1699.825</v>
      </c>
      <c r="K291" s="42">
        <f t="shared" si="13"/>
        <v>0</v>
      </c>
      <c r="L291" s="41">
        <f t="shared" si="13"/>
        <v>386238.08499999996</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f>7437.5+5731.25+312.5</f>
        <v>13481.25</v>
      </c>
      <c r="G296" s="18">
        <f>1892.85+1451.32</f>
        <v>3344.17</v>
      </c>
      <c r="H296" s="18">
        <f>5113.84+536</f>
        <v>5649.84</v>
      </c>
      <c r="I296" s="18">
        <f>5923.24+16806.69+331.23</f>
        <v>23061.16</v>
      </c>
      <c r="J296" s="18">
        <f>1699.83+611.52</f>
        <v>2311.35</v>
      </c>
      <c r="K296" s="18"/>
      <c r="L296" s="19">
        <f>SUM(F296:K296)</f>
        <v>47847.77</v>
      </c>
      <c r="M296" s="8"/>
      <c r="N296" s="264"/>
    </row>
    <row r="297" spans="1:14" s="3" customFormat="1" ht="12.2" customHeight="1" x14ac:dyDescent="0.15">
      <c r="A297" s="1" t="s">
        <v>439</v>
      </c>
      <c r="B297" s="2" t="s">
        <v>358</v>
      </c>
      <c r="C297" s="2" t="s">
        <v>291</v>
      </c>
      <c r="D297" s="2" t="s">
        <v>431</v>
      </c>
      <c r="E297" s="6">
        <v>1200</v>
      </c>
      <c r="F297" s="18">
        <f>43500.08</f>
        <v>43500.08</v>
      </c>
      <c r="G297" s="18">
        <f>13668.46+2919.02+7958.54+1152.247</f>
        <v>25698.267</v>
      </c>
      <c r="H297" s="18"/>
      <c r="I297" s="18"/>
      <c r="J297" s="18"/>
      <c r="K297" s="18"/>
      <c r="L297" s="19">
        <f>SUM(F297:K297)</f>
        <v>69198.347000000009</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f>24613.68/2</f>
        <v>12306.84</v>
      </c>
      <c r="G301" s="18">
        <f>SUM(9334.75+1882.95+2749.35)/2</f>
        <v>6983.5250000000005</v>
      </c>
      <c r="H301" s="18">
        <f>3800/2</f>
        <v>1900</v>
      </c>
      <c r="I301" s="18"/>
      <c r="J301" s="18"/>
      <c r="K301" s="18"/>
      <c r="L301" s="19">
        <f t="shared" ref="L301:L307" si="14">SUM(F301:K301)</f>
        <v>21190.365000000002</v>
      </c>
      <c r="M301" s="8"/>
      <c r="N301" s="264"/>
    </row>
    <row r="302" spans="1:14" s="3" customFormat="1" ht="12.2" customHeight="1" x14ac:dyDescent="0.15">
      <c r="A302" s="1" t="s">
        <v>443</v>
      </c>
      <c r="B302" s="2" t="s">
        <v>358</v>
      </c>
      <c r="C302" s="2" t="s">
        <v>295</v>
      </c>
      <c r="D302" s="2" t="s">
        <v>431</v>
      </c>
      <c r="E302" s="6">
        <v>2200</v>
      </c>
      <c r="F302" s="18">
        <f>465/2</f>
        <v>232.5</v>
      </c>
      <c r="G302" s="18">
        <f>35.57/2</f>
        <v>17.785</v>
      </c>
      <c r="H302" s="18">
        <f>8550/2</f>
        <v>4275</v>
      </c>
      <c r="I302" s="18"/>
      <c r="J302" s="18"/>
      <c r="K302" s="18"/>
      <c r="L302" s="19">
        <f t="shared" si="14"/>
        <v>4525.2849999999999</v>
      </c>
      <c r="M302" s="8"/>
      <c r="N302" s="264"/>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4"/>
    </row>
    <row r="306" spans="1:14" s="3" customFormat="1" ht="12.2" customHeight="1" x14ac:dyDescent="0.15">
      <c r="A306" s="1" t="s">
        <v>447</v>
      </c>
      <c r="B306" s="2" t="s">
        <v>358</v>
      </c>
      <c r="C306" s="2" t="s">
        <v>299</v>
      </c>
      <c r="D306" s="2" t="s">
        <v>431</v>
      </c>
      <c r="E306" s="6">
        <v>2600</v>
      </c>
      <c r="F306" s="18"/>
      <c r="G306" s="18"/>
      <c r="H306" s="18"/>
      <c r="I306" s="18">
        <f>10227.08/2</f>
        <v>5113.54</v>
      </c>
      <c r="J306" s="18"/>
      <c r="K306" s="18"/>
      <c r="L306" s="19">
        <f t="shared" si="14"/>
        <v>5113.54</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69520.67</v>
      </c>
      <c r="G310" s="42">
        <f t="shared" si="15"/>
        <v>36043.747000000003</v>
      </c>
      <c r="H310" s="42">
        <f t="shared" si="15"/>
        <v>11824.84</v>
      </c>
      <c r="I310" s="42">
        <f t="shared" si="15"/>
        <v>28174.7</v>
      </c>
      <c r="J310" s="42">
        <f t="shared" si="15"/>
        <v>2311.35</v>
      </c>
      <c r="K310" s="42">
        <f t="shared" si="15"/>
        <v>0</v>
      </c>
      <c r="L310" s="41">
        <f t="shared" si="15"/>
        <v>147875.307</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4"/>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4"/>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4"/>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v>8200</v>
      </c>
      <c r="I337" s="18"/>
      <c r="J337" s="18"/>
      <c r="K337" s="18"/>
      <c r="L337" s="19">
        <f t="shared" si="18"/>
        <v>8200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8200</v>
      </c>
      <c r="I338" s="41">
        <f t="shared" si="19"/>
        <v>0</v>
      </c>
      <c r="J338" s="41">
        <f t="shared" si="19"/>
        <v>0</v>
      </c>
      <c r="K338" s="41">
        <f t="shared" si="19"/>
        <v>0</v>
      </c>
      <c r="L338" s="41">
        <f t="shared" si="18"/>
        <v>8200</v>
      </c>
      <c r="M338" s="8"/>
      <c r="N338" s="264"/>
    </row>
    <row r="339" spans="1:43" s="3" customFormat="1" ht="12.2" customHeight="1" thickTop="1" x14ac:dyDescent="0.15">
      <c r="A339" s="38" t="s">
        <v>468</v>
      </c>
      <c r="B339" s="40">
        <v>14</v>
      </c>
      <c r="C339" s="40">
        <v>7</v>
      </c>
      <c r="D339" s="39" t="s">
        <v>431</v>
      </c>
      <c r="E339" s="40"/>
      <c r="F339" s="41">
        <f t="shared" ref="F339:L339" si="20">F291+F310+F329+F338</f>
        <v>334279.01</v>
      </c>
      <c r="G339" s="41">
        <f t="shared" si="20"/>
        <v>100727.53700000001</v>
      </c>
      <c r="H339" s="41">
        <f t="shared" si="20"/>
        <v>40391.179999999993</v>
      </c>
      <c r="I339" s="41">
        <f t="shared" si="20"/>
        <v>62904.489999999991</v>
      </c>
      <c r="J339" s="41">
        <f t="shared" si="20"/>
        <v>4011.1750000000002</v>
      </c>
      <c r="K339" s="41">
        <f t="shared" si="20"/>
        <v>0</v>
      </c>
      <c r="L339" s="41">
        <f t="shared" si="20"/>
        <v>542313.39199999999</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334279.01</v>
      </c>
      <c r="G353" s="41">
        <f>G339</f>
        <v>100727.53700000001</v>
      </c>
      <c r="H353" s="41">
        <f>H339</f>
        <v>40391.179999999993</v>
      </c>
      <c r="I353" s="41">
        <f>I339</f>
        <v>62904.489999999991</v>
      </c>
      <c r="J353" s="41">
        <f>J339</f>
        <v>4011.1750000000002</v>
      </c>
      <c r="K353" s="47">
        <f>K339+K352</f>
        <v>0</v>
      </c>
      <c r="L353" s="41">
        <f>L339+L352</f>
        <v>542313.39199999999</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f>(305090+9148.86+577.5+1631.13)/2</f>
        <v>158223.745</v>
      </c>
      <c r="I359" s="18"/>
      <c r="J359" s="18"/>
      <c r="K359" s="18">
        <v>38</v>
      </c>
      <c r="L359" s="13">
        <f>SUM(F359:K359)</f>
        <v>158261.745</v>
      </c>
      <c r="M359" s="8"/>
      <c r="N359" s="264"/>
    </row>
    <row r="360" spans="1:22" s="3" customFormat="1" ht="12.2" customHeight="1" x14ac:dyDescent="0.15">
      <c r="A360" s="1" t="s">
        <v>542</v>
      </c>
      <c r="B360" s="2" t="s">
        <v>366</v>
      </c>
      <c r="C360" s="6">
        <v>2</v>
      </c>
      <c r="D360" s="2" t="s">
        <v>431</v>
      </c>
      <c r="E360" s="6"/>
      <c r="F360" s="18"/>
      <c r="G360" s="18"/>
      <c r="H360" s="18">
        <f>(305090+9148.86+577.5+1621.13)/2</f>
        <v>158218.745</v>
      </c>
      <c r="I360" s="18"/>
      <c r="J360" s="18"/>
      <c r="K360" s="18">
        <v>38</v>
      </c>
      <c r="L360" s="19">
        <f>SUM(F360:K360)</f>
        <v>158256.745</v>
      </c>
      <c r="M360" s="8"/>
      <c r="N360" s="264"/>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316442.49</v>
      </c>
      <c r="I363" s="47">
        <f t="shared" si="22"/>
        <v>0</v>
      </c>
      <c r="J363" s="47">
        <f t="shared" si="22"/>
        <v>0</v>
      </c>
      <c r="K363" s="47">
        <f t="shared" si="22"/>
        <v>76</v>
      </c>
      <c r="L363" s="47">
        <f t="shared" si="22"/>
        <v>316518.49</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0</v>
      </c>
      <c r="I370" s="47">
        <f>SUM(I368:I369)</f>
        <v>0</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f>118308+4600+500+4930+6573.71</f>
        <v>134911.71</v>
      </c>
      <c r="I380" s="18">
        <v>86400</v>
      </c>
      <c r="J380" s="18">
        <f>66092+13845.95+1023.02+9522+4835</f>
        <v>95317.97</v>
      </c>
      <c r="K380" s="18"/>
      <c r="L380" s="13">
        <f t="shared" si="23"/>
        <v>316629.68</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134911.71</v>
      </c>
      <c r="I383" s="41">
        <f t="shared" si="24"/>
        <v>86400</v>
      </c>
      <c r="J383" s="47">
        <f t="shared" si="24"/>
        <v>95317.97</v>
      </c>
      <c r="K383" s="47">
        <f t="shared" si="24"/>
        <v>0</v>
      </c>
      <c r="L383" s="47">
        <f t="shared" si="24"/>
        <v>316629.68</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v>150000</v>
      </c>
      <c r="H389" s="18">
        <v>1165.1099999999999</v>
      </c>
      <c r="I389" s="18"/>
      <c r="J389" s="24" t="s">
        <v>288</v>
      </c>
      <c r="K389" s="24" t="s">
        <v>288</v>
      </c>
      <c r="L389" s="56">
        <f t="shared" si="25"/>
        <v>151165.10999999999</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150000</v>
      </c>
      <c r="H394" s="139">
        <f>SUM(H388:H393)</f>
        <v>1165.1099999999999</v>
      </c>
      <c r="I394" s="65">
        <f>SUM(I388:I393)</f>
        <v>0</v>
      </c>
      <c r="J394" s="45" t="s">
        <v>288</v>
      </c>
      <c r="K394" s="45" t="s">
        <v>288</v>
      </c>
      <c r="L394" s="47">
        <f>SUM(L388:L393)</f>
        <v>151165.10999999999</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c r="H397" s="18"/>
      <c r="I397" s="18"/>
      <c r="J397" s="24" t="s">
        <v>288</v>
      </c>
      <c r="K397" s="24" t="s">
        <v>288</v>
      </c>
      <c r="L397" s="56">
        <f t="shared" si="26"/>
        <v>0</v>
      </c>
      <c r="M397" s="8"/>
      <c r="N397" s="264"/>
    </row>
    <row r="398" spans="1:14" s="3" customFormat="1" ht="12.2" customHeight="1" x14ac:dyDescent="0.15">
      <c r="A398" s="79" t="s">
        <v>515</v>
      </c>
      <c r="B398" s="2" t="s">
        <v>381</v>
      </c>
      <c r="C398" s="6">
        <v>10</v>
      </c>
      <c r="D398" s="2" t="s">
        <v>432</v>
      </c>
      <c r="E398" s="6"/>
      <c r="F398" s="18"/>
      <c r="G398" s="18"/>
      <c r="H398" s="18">
        <v>1656.48</v>
      </c>
      <c r="I398" s="18"/>
      <c r="J398" s="24" t="s">
        <v>288</v>
      </c>
      <c r="K398" s="24" t="s">
        <v>288</v>
      </c>
      <c r="L398" s="56">
        <f t="shared" si="26"/>
        <v>1656.48</v>
      </c>
      <c r="M398" s="8"/>
      <c r="N398" s="264"/>
    </row>
    <row r="399" spans="1:14" s="3" customFormat="1" ht="12.2" customHeight="1" x14ac:dyDescent="0.15">
      <c r="A399" s="79" t="s">
        <v>558</v>
      </c>
      <c r="B399" s="2" t="s">
        <v>381</v>
      </c>
      <c r="C399" s="6">
        <v>11</v>
      </c>
      <c r="D399" s="2" t="s">
        <v>432</v>
      </c>
      <c r="E399" s="6"/>
      <c r="F399" s="18"/>
      <c r="G399" s="18">
        <v>200000</v>
      </c>
      <c r="H399" s="18">
        <v>2545.56</v>
      </c>
      <c r="I399" s="18"/>
      <c r="J399" s="24" t="s">
        <v>288</v>
      </c>
      <c r="K399" s="24" t="s">
        <v>288</v>
      </c>
      <c r="L399" s="56">
        <f t="shared" si="26"/>
        <v>202545.56</v>
      </c>
      <c r="M399" s="8"/>
      <c r="N399" s="264"/>
    </row>
    <row r="400" spans="1:14" s="3" customFormat="1" ht="12.2" customHeight="1" x14ac:dyDescent="0.15">
      <c r="A400" s="79" t="s">
        <v>559</v>
      </c>
      <c r="B400" s="2" t="s">
        <v>381</v>
      </c>
      <c r="C400" s="6">
        <v>12</v>
      </c>
      <c r="D400" s="2" t="s">
        <v>432</v>
      </c>
      <c r="E400" s="6"/>
      <c r="F400" s="18"/>
      <c r="G400" s="18"/>
      <c r="H400" s="18">
        <v>124.18</v>
      </c>
      <c r="I400" s="18"/>
      <c r="J400" s="24" t="s">
        <v>288</v>
      </c>
      <c r="K400" s="24" t="s">
        <v>288</v>
      </c>
      <c r="L400" s="56">
        <f t="shared" si="26"/>
        <v>124.18</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200000</v>
      </c>
      <c r="H402" s="47">
        <f>SUM(H396:H401)</f>
        <v>4326.22</v>
      </c>
      <c r="I402" s="47">
        <f>SUM(I396:I401)</f>
        <v>0</v>
      </c>
      <c r="J402" s="45" t="s">
        <v>288</v>
      </c>
      <c r="K402" s="45" t="s">
        <v>288</v>
      </c>
      <c r="L402" s="47">
        <f>SUM(L396:L401)</f>
        <v>204326.22</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350000</v>
      </c>
      <c r="H409" s="47">
        <f>H394+H402+H408</f>
        <v>5491.33</v>
      </c>
      <c r="I409" s="47">
        <f>I394+I402+I408</f>
        <v>0</v>
      </c>
      <c r="J409" s="24" t="s">
        <v>288</v>
      </c>
      <c r="K409" s="24" t="s">
        <v>288</v>
      </c>
      <c r="L409" s="47">
        <f>L394+L402+L408</f>
        <v>355491.32999999996</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v>39180</v>
      </c>
      <c r="I415" s="18"/>
      <c r="J415" s="18"/>
      <c r="K415" s="18"/>
      <c r="L415" s="56">
        <f t="shared" si="27"/>
        <v>39180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39180</v>
      </c>
      <c r="I420" s="139">
        <f t="shared" si="28"/>
        <v>0</v>
      </c>
      <c r="J420" s="139">
        <f t="shared" si="28"/>
        <v>0</v>
      </c>
      <c r="K420" s="139">
        <f t="shared" si="28"/>
        <v>0</v>
      </c>
      <c r="L420" s="47">
        <f t="shared" si="28"/>
        <v>39180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v>234000</v>
      </c>
      <c r="I425" s="18"/>
      <c r="J425" s="18"/>
      <c r="K425" s="18"/>
      <c r="L425" s="56">
        <f t="shared" si="29"/>
        <v>234000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234000</v>
      </c>
      <c r="I428" s="47">
        <f t="shared" si="30"/>
        <v>0</v>
      </c>
      <c r="J428" s="47">
        <f t="shared" si="30"/>
        <v>0</v>
      </c>
      <c r="K428" s="47">
        <f t="shared" si="30"/>
        <v>0</v>
      </c>
      <c r="L428" s="47">
        <f t="shared" si="30"/>
        <v>234000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273180</v>
      </c>
      <c r="I435" s="47">
        <f t="shared" si="32"/>
        <v>0</v>
      </c>
      <c r="J435" s="47">
        <f t="shared" si="32"/>
        <v>0</v>
      </c>
      <c r="K435" s="47">
        <f t="shared" si="32"/>
        <v>0</v>
      </c>
      <c r="L435" s="47">
        <f t="shared" si="32"/>
        <v>273180</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v>1641068.17</v>
      </c>
      <c r="G440" s="18"/>
      <c r="H440" s="18"/>
      <c r="I440" s="56">
        <f t="shared" ref="I440:I446" si="33">SUM(F440:H440)</f>
        <v>1641068.17</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1641068.17</v>
      </c>
      <c r="G447" s="13">
        <f>SUM(G440:G446)</f>
        <v>0</v>
      </c>
      <c r="H447" s="13">
        <f>SUM(H440:H446)</f>
        <v>0</v>
      </c>
      <c r="I447" s="13">
        <f>SUM(I440:I446)</f>
        <v>1641068.17</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v>1641068.17</v>
      </c>
      <c r="G455" s="18"/>
      <c r="H455" s="18"/>
      <c r="I455" s="56">
        <f t="shared" ref="I455:I460" si="34">SUM(F455:H455)</f>
        <v>1641068.17</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1641068.17</v>
      </c>
      <c r="G461" s="83">
        <f>SUM(G455:G460)</f>
        <v>0</v>
      </c>
      <c r="H461" s="83">
        <f>SUM(H455:H460)</f>
        <v>0</v>
      </c>
      <c r="I461" s="83">
        <f>SUM(I455:I460)</f>
        <v>1641068.17</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1641068.17</v>
      </c>
      <c r="G462" s="42">
        <f>G453+G461</f>
        <v>0</v>
      </c>
      <c r="H462" s="42">
        <f>H453+H461</f>
        <v>0</v>
      </c>
      <c r="I462" s="42">
        <f>I453+I461</f>
        <v>1641068.17</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1351834.62</v>
      </c>
      <c r="G466" s="18">
        <v>0</v>
      </c>
      <c r="H466" s="18">
        <v>0</v>
      </c>
      <c r="I466" s="18">
        <v>0</v>
      </c>
      <c r="J466" s="18">
        <v>1558756.84</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f>25135898.38</f>
        <v>25135898.379999999</v>
      </c>
      <c r="G469" s="18">
        <f>308765.74+37594.59</f>
        <v>346360.32999999996</v>
      </c>
      <c r="H469" s="18">
        <v>542313.39</v>
      </c>
      <c r="I469" s="18">
        <v>316629.68</v>
      </c>
      <c r="J469" s="18">
        <f>1656.48+1165.11+150000+200000+2545.56+124.18</f>
        <v>355491.32999999996</v>
      </c>
      <c r="K469" s="24" t="s">
        <v>288</v>
      </c>
      <c r="L469" s="24" t="s">
        <v>288</v>
      </c>
      <c r="N469" s="263"/>
    </row>
    <row r="470" spans="1:14" s="52" customFormat="1" ht="12.2" customHeight="1" x14ac:dyDescent="0.2">
      <c r="A470" s="93" t="s">
        <v>611</v>
      </c>
      <c r="B470" s="75">
        <v>19</v>
      </c>
      <c r="C470" s="80">
        <v>3</v>
      </c>
      <c r="D470" s="2" t="s">
        <v>432</v>
      </c>
      <c r="E470" s="80"/>
      <c r="F470" s="18"/>
      <c r="G470" s="18" t="s">
        <v>286</v>
      </c>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25135898.379999999</v>
      </c>
      <c r="G471" s="53">
        <f>SUM(G469:G470)</f>
        <v>346360.32999999996</v>
      </c>
      <c r="H471" s="53">
        <f>SUM(H469:H470)</f>
        <v>542313.39</v>
      </c>
      <c r="I471" s="53">
        <f>SUM(I469:I470)</f>
        <v>316629.68</v>
      </c>
      <c r="J471" s="53">
        <f>SUM(J469:J470)</f>
        <v>355491.32999999996</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25157356-42917</f>
        <v>25114439</v>
      </c>
      <c r="G473" s="18">
        <f>314897.36+1621.13</f>
        <v>316518.49</v>
      </c>
      <c r="H473" s="18">
        <v>542313.39</v>
      </c>
      <c r="I473" s="18">
        <v>316629.68</v>
      </c>
      <c r="J473" s="18">
        <f>39180+234000</f>
        <v>273180</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25114439</v>
      </c>
      <c r="G475" s="53">
        <f>SUM(G473:G474)</f>
        <v>316518.49</v>
      </c>
      <c r="H475" s="53">
        <f>SUM(H473:H474)</f>
        <v>542313.39</v>
      </c>
      <c r="I475" s="53">
        <f>SUM(I473:I474)</f>
        <v>316629.68</v>
      </c>
      <c r="J475" s="53">
        <f>SUM(J473:J474)</f>
        <v>273180</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1373294</v>
      </c>
      <c r="G477" s="53">
        <f>(G466+G471)- G475</f>
        <v>29841.839999999967</v>
      </c>
      <c r="H477" s="53">
        <f>(H466+H471)- H475</f>
        <v>0</v>
      </c>
      <c r="I477" s="53">
        <f>(I466+I471)- I475</f>
        <v>0</v>
      </c>
      <c r="J477" s="53">
        <f>(J466+J471)- J475</f>
        <v>1641068.17</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1673</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14144129</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3.7</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1420000</v>
      </c>
      <c r="G496" s="18"/>
      <c r="H496" s="18"/>
      <c r="I496" s="18"/>
      <c r="J496" s="18"/>
      <c r="K496" s="53">
        <f>SUM(F496:J496)</f>
        <v>1420000</v>
      </c>
      <c r="L496" s="24" t="s">
        <v>288</v>
      </c>
      <c r="N496" s="263"/>
    </row>
    <row r="497" spans="1:14" s="52" customFormat="1" ht="12.2" customHeight="1" x14ac:dyDescent="0.2">
      <c r="A497" s="22" t="s">
        <v>620</v>
      </c>
      <c r="B497" s="75">
        <v>20</v>
      </c>
      <c r="C497" s="115">
        <v>7</v>
      </c>
      <c r="D497" s="2" t="s">
        <v>432</v>
      </c>
      <c r="E497" s="115"/>
      <c r="F497" s="18" t="s">
        <v>286</v>
      </c>
      <c r="G497" s="18"/>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710000</v>
      </c>
      <c r="G498" s="18"/>
      <c r="H498" s="18"/>
      <c r="I498" s="18"/>
      <c r="J498" s="18"/>
      <c r="K498" s="53">
        <f t="shared" si="35"/>
        <v>710000</v>
      </c>
      <c r="L498" s="24" t="s">
        <v>288</v>
      </c>
      <c r="N498" s="263"/>
    </row>
    <row r="499" spans="1:14" s="52" customFormat="1" ht="12.2" customHeight="1" x14ac:dyDescent="0.2">
      <c r="A499" s="200" t="s">
        <v>622</v>
      </c>
      <c r="B499" s="201">
        <v>20</v>
      </c>
      <c r="C499" s="202">
        <v>9</v>
      </c>
      <c r="D499" s="203" t="s">
        <v>432</v>
      </c>
      <c r="E499" s="202"/>
      <c r="F499" s="204">
        <v>710000</v>
      </c>
      <c r="G499" s="204"/>
      <c r="H499" s="204"/>
      <c r="I499" s="204"/>
      <c r="J499" s="204"/>
      <c r="K499" s="205">
        <f t="shared" si="35"/>
        <v>710000</v>
      </c>
      <c r="L499" s="206" t="s">
        <v>288</v>
      </c>
      <c r="N499" s="263"/>
    </row>
    <row r="500" spans="1:14" s="52" customFormat="1" ht="12.2" customHeight="1" thickBot="1" x14ac:dyDescent="0.25">
      <c r="A500" s="22" t="s">
        <v>623</v>
      </c>
      <c r="B500" s="75">
        <v>20</v>
      </c>
      <c r="C500" s="115">
        <v>10</v>
      </c>
      <c r="D500" s="2" t="s">
        <v>432</v>
      </c>
      <c r="E500" s="115"/>
      <c r="F500" s="18">
        <v>69224</v>
      </c>
      <c r="G500" s="18"/>
      <c r="H500" s="18"/>
      <c r="I500" s="18"/>
      <c r="J500" s="18"/>
      <c r="K500" s="53">
        <f t="shared" si="35"/>
        <v>69224</v>
      </c>
      <c r="L500" s="24" t="s">
        <v>288</v>
      </c>
      <c r="N500" s="263"/>
    </row>
    <row r="501" spans="1:14" s="52" customFormat="1" ht="12.2" customHeight="1" thickTop="1" x14ac:dyDescent="0.2">
      <c r="A501" s="139" t="s">
        <v>624</v>
      </c>
      <c r="B501" s="44">
        <v>20</v>
      </c>
      <c r="C501" s="195">
        <v>11</v>
      </c>
      <c r="D501" s="39" t="s">
        <v>432</v>
      </c>
      <c r="E501" s="195"/>
      <c r="F501" s="42">
        <f>SUM(F499:F500)</f>
        <v>779224</v>
      </c>
      <c r="G501" s="42">
        <f>SUM(G499:G500)</f>
        <v>0</v>
      </c>
      <c r="H501" s="42">
        <f>SUM(H499:H500)</f>
        <v>0</v>
      </c>
      <c r="I501" s="42">
        <f>SUM(I499:I500)</f>
        <v>0</v>
      </c>
      <c r="J501" s="42">
        <f>SUM(J499:J500)</f>
        <v>0</v>
      </c>
      <c r="K501" s="42">
        <f t="shared" si="35"/>
        <v>779224</v>
      </c>
      <c r="L501" s="45" t="s">
        <v>288</v>
      </c>
      <c r="N501" s="263"/>
    </row>
    <row r="502" spans="1:14" s="52" customFormat="1" ht="12.2" customHeight="1" x14ac:dyDescent="0.2">
      <c r="A502" s="200" t="s">
        <v>651</v>
      </c>
      <c r="B502" s="201">
        <v>20</v>
      </c>
      <c r="C502" s="202">
        <v>12</v>
      </c>
      <c r="D502" s="203" t="s">
        <v>432</v>
      </c>
      <c r="E502" s="202"/>
      <c r="F502" s="204">
        <v>710000</v>
      </c>
      <c r="G502" s="204"/>
      <c r="H502" s="204"/>
      <c r="I502" s="204"/>
      <c r="J502" s="204"/>
      <c r="K502" s="205">
        <f t="shared" si="35"/>
        <v>710000</v>
      </c>
      <c r="L502" s="206" t="s">
        <v>288</v>
      </c>
      <c r="N502" s="263"/>
    </row>
    <row r="503" spans="1:14" s="52" customFormat="1" ht="12.2" customHeight="1" thickBot="1" x14ac:dyDescent="0.25">
      <c r="A503" s="22" t="s">
        <v>625</v>
      </c>
      <c r="B503" s="75">
        <v>20</v>
      </c>
      <c r="C503" s="115">
        <v>13</v>
      </c>
      <c r="D503" s="2" t="s">
        <v>432</v>
      </c>
      <c r="E503" s="115"/>
      <c r="F503" s="18">
        <v>51830</v>
      </c>
      <c r="G503" s="18"/>
      <c r="H503" s="18"/>
      <c r="I503" s="18"/>
      <c r="J503" s="18"/>
      <c r="K503" s="53">
        <f t="shared" si="35"/>
        <v>51830</v>
      </c>
      <c r="L503" s="24" t="s">
        <v>288</v>
      </c>
      <c r="N503" s="263"/>
    </row>
    <row r="504" spans="1:14" s="52" customFormat="1" ht="12.2" customHeight="1" thickTop="1" x14ac:dyDescent="0.2">
      <c r="A504" s="139" t="s">
        <v>626</v>
      </c>
      <c r="B504" s="44">
        <v>20</v>
      </c>
      <c r="C504" s="195">
        <v>14</v>
      </c>
      <c r="D504" s="39" t="s">
        <v>432</v>
      </c>
      <c r="E504" s="195"/>
      <c r="F504" s="42">
        <f>SUM(F502:F503)</f>
        <v>761830</v>
      </c>
      <c r="G504" s="42">
        <f>SUM(G502:G503)</f>
        <v>0</v>
      </c>
      <c r="H504" s="42">
        <f>SUM(H502:H503)</f>
        <v>0</v>
      </c>
      <c r="I504" s="42">
        <f>SUM(I502:I503)</f>
        <v>0</v>
      </c>
      <c r="J504" s="42">
        <f>SUM(J502:J503)</f>
        <v>0</v>
      </c>
      <c r="K504" s="42">
        <f t="shared" si="35"/>
        <v>761830</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886983.01+152284</f>
        <v>1039267.01</v>
      </c>
      <c r="G522" s="18">
        <f>451409.32+42929.67</f>
        <v>494338.99</v>
      </c>
      <c r="H522" s="18">
        <f>151118.07</f>
        <v>151118.07</v>
      </c>
      <c r="I522" s="18">
        <f>6529.99</f>
        <v>6529.99</v>
      </c>
      <c r="J522" s="18">
        <f>5594.3</f>
        <v>5594.3</v>
      </c>
      <c r="K522" s="18"/>
      <c r="L522" s="88">
        <f>SUM(F522:K522)</f>
        <v>1696848.36</v>
      </c>
      <c r="N522" s="263"/>
    </row>
    <row r="523" spans="1:14" s="52" customFormat="1" ht="12.2" customHeight="1" x14ac:dyDescent="0.2">
      <c r="A523" s="22" t="s">
        <v>634</v>
      </c>
      <c r="B523" s="105">
        <v>21</v>
      </c>
      <c r="C523" s="115">
        <v>2</v>
      </c>
      <c r="D523" s="2" t="s">
        <v>432</v>
      </c>
      <c r="E523" s="115"/>
      <c r="F523" s="18">
        <f>507776.86+43500.08</f>
        <v>551276.93999999994</v>
      </c>
      <c r="G523" s="18">
        <f>266411.79+25698.27</f>
        <v>292110.06</v>
      </c>
      <c r="H523" s="18">
        <f>207551.44</f>
        <v>207551.44</v>
      </c>
      <c r="I523" s="18">
        <f>9768.01</f>
        <v>9768.01</v>
      </c>
      <c r="J523" s="18" t="s">
        <v>286</v>
      </c>
      <c r="K523" s="18" t="s">
        <v>286</v>
      </c>
      <c r="L523" s="88">
        <f>SUM(F523:K523)</f>
        <v>1060706.45</v>
      </c>
      <c r="N523" s="263"/>
    </row>
    <row r="524" spans="1:14" s="52" customFormat="1" ht="12.2" customHeight="1" thickBot="1" x14ac:dyDescent="0.25">
      <c r="A524" s="22" t="s">
        <v>635</v>
      </c>
      <c r="B524" s="105">
        <v>21</v>
      </c>
      <c r="C524" s="115">
        <v>3</v>
      </c>
      <c r="D524" s="2" t="s">
        <v>432</v>
      </c>
      <c r="E524" s="115"/>
      <c r="F524" s="18"/>
      <c r="G524" s="18"/>
      <c r="H524" s="18">
        <f>732428.75</f>
        <v>732428.75</v>
      </c>
      <c r="I524" s="18"/>
      <c r="J524" s="18"/>
      <c r="K524" s="18"/>
      <c r="L524" s="88">
        <f>SUM(F524:K524)</f>
        <v>732428.75</v>
      </c>
      <c r="N524" s="263"/>
    </row>
    <row r="525" spans="1:14" s="52" customFormat="1" ht="12.2" customHeight="1" thickTop="1" x14ac:dyDescent="0.2">
      <c r="A525" s="139" t="s">
        <v>63</v>
      </c>
      <c r="B525" s="107">
        <v>21</v>
      </c>
      <c r="C525" s="195">
        <v>4</v>
      </c>
      <c r="D525" s="196" t="s">
        <v>432</v>
      </c>
      <c r="E525" s="195"/>
      <c r="F525" s="108">
        <f>SUM(F522:F524)</f>
        <v>1590543.95</v>
      </c>
      <c r="G525" s="108">
        <f t="shared" ref="G525:L525" si="36">SUM(G522:G524)</f>
        <v>786449.05</v>
      </c>
      <c r="H525" s="108">
        <f t="shared" si="36"/>
        <v>1091098.26</v>
      </c>
      <c r="I525" s="108">
        <f t="shared" si="36"/>
        <v>16298</v>
      </c>
      <c r="J525" s="108">
        <f t="shared" si="36"/>
        <v>5594.3</v>
      </c>
      <c r="K525" s="108">
        <f t="shared" si="36"/>
        <v>0</v>
      </c>
      <c r="L525" s="89">
        <f t="shared" si="36"/>
        <v>3489983.56</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f>656807.67+12306.84</f>
        <v>669114.51</v>
      </c>
      <c r="G527" s="18">
        <f>274866.75+6983.53</f>
        <v>281850.28000000003</v>
      </c>
      <c r="H527" s="18">
        <f>16914.79+1900</f>
        <v>18814.79</v>
      </c>
      <c r="I527" s="18">
        <v>6302.81</v>
      </c>
      <c r="J527" s="18"/>
      <c r="K527" s="18">
        <f>4535.3</f>
        <v>4535.3</v>
      </c>
      <c r="L527" s="88">
        <f>SUM(F527:K527)</f>
        <v>980617.69000000018</v>
      </c>
      <c r="M527" s="8"/>
      <c r="N527" s="264"/>
    </row>
    <row r="528" spans="1:14" s="3" customFormat="1" ht="12.2" customHeight="1" x14ac:dyDescent="0.15">
      <c r="A528" s="22" t="s">
        <v>634</v>
      </c>
      <c r="B528" s="105">
        <v>21</v>
      </c>
      <c r="C528" s="115">
        <v>6</v>
      </c>
      <c r="D528" s="2" t="s">
        <v>432</v>
      </c>
      <c r="E528" s="115"/>
      <c r="F528" s="18">
        <f>430946.02+12306.84</f>
        <v>443252.86000000004</v>
      </c>
      <c r="G528" s="18">
        <f>237214.34+6983.53</f>
        <v>244197.87</v>
      </c>
      <c r="H528" s="18">
        <f>13330.85+1900</f>
        <v>15230.85</v>
      </c>
      <c r="I528" s="18">
        <f>4567.59</f>
        <v>4567.59</v>
      </c>
      <c r="J528" s="18"/>
      <c r="K528" s="18">
        <f>4535.3</f>
        <v>4535.3</v>
      </c>
      <c r="L528" s="88">
        <f>SUM(F528:K528)</f>
        <v>711784.47</v>
      </c>
      <c r="M528" s="8"/>
      <c r="N528" s="264"/>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4"/>
    </row>
    <row r="530" spans="1:14" s="3" customFormat="1" ht="12.2" customHeight="1" thickTop="1" x14ac:dyDescent="0.15">
      <c r="A530" s="139" t="s">
        <v>65</v>
      </c>
      <c r="B530" s="107">
        <v>21</v>
      </c>
      <c r="C530" s="107">
        <v>8</v>
      </c>
      <c r="D530" s="158" t="s">
        <v>432</v>
      </c>
      <c r="E530" s="107"/>
      <c r="F530" s="89">
        <f>SUM(F527:F529)</f>
        <v>1112367.3700000001</v>
      </c>
      <c r="G530" s="89">
        <f t="shared" ref="G530:L530" si="37">SUM(G527:G529)</f>
        <v>526048.15</v>
      </c>
      <c r="H530" s="89">
        <f t="shared" si="37"/>
        <v>34045.64</v>
      </c>
      <c r="I530" s="89">
        <f t="shared" si="37"/>
        <v>10870.400000000001</v>
      </c>
      <c r="J530" s="89">
        <f t="shared" si="37"/>
        <v>0</v>
      </c>
      <c r="K530" s="89">
        <f t="shared" si="37"/>
        <v>9070.6</v>
      </c>
      <c r="L530" s="89">
        <f t="shared" si="37"/>
        <v>1692402.1600000001</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136534.54</v>
      </c>
      <c r="G532" s="18">
        <v>65742.539999999994</v>
      </c>
      <c r="H532" s="18">
        <v>36627.21</v>
      </c>
      <c r="I532" s="18">
        <v>1192.8900000000001</v>
      </c>
      <c r="J532" s="18">
        <v>1288</v>
      </c>
      <c r="K532" s="18">
        <v>5544.64</v>
      </c>
      <c r="L532" s="88">
        <f>SUM(F532:K532)</f>
        <v>246929.82000000004</v>
      </c>
      <c r="M532" s="8"/>
      <c r="N532" s="264"/>
    </row>
    <row r="533" spans="1:14" s="3" customFormat="1" ht="12.2" customHeight="1" x14ac:dyDescent="0.15">
      <c r="A533" s="22" t="s">
        <v>634</v>
      </c>
      <c r="B533" s="105">
        <v>21</v>
      </c>
      <c r="C533" s="105">
        <v>10</v>
      </c>
      <c r="D533" s="2" t="s">
        <v>432</v>
      </c>
      <c r="E533" s="105"/>
      <c r="F533" s="18">
        <v>136534.54</v>
      </c>
      <c r="G533" s="18">
        <v>65742.539999999994</v>
      </c>
      <c r="H533" s="18">
        <v>36627.21</v>
      </c>
      <c r="I533" s="18">
        <v>1192.8900000000001</v>
      </c>
      <c r="J533" s="18">
        <v>1288</v>
      </c>
      <c r="K533" s="18">
        <v>5544.64</v>
      </c>
      <c r="L533" s="88">
        <f>SUM(F533:K533)</f>
        <v>246929.82000000004</v>
      </c>
      <c r="M533" s="8"/>
      <c r="N533" s="264"/>
    </row>
    <row r="534" spans="1:14" s="3" customFormat="1" ht="12.2" customHeight="1" thickBot="1" x14ac:dyDescent="0.2">
      <c r="A534" s="22" t="s">
        <v>635</v>
      </c>
      <c r="B534" s="105">
        <v>21</v>
      </c>
      <c r="C534" s="105">
        <v>11</v>
      </c>
      <c r="D534" s="2" t="s">
        <v>432</v>
      </c>
      <c r="E534" s="105"/>
      <c r="F534" s="18">
        <v>136534.54</v>
      </c>
      <c r="G534" s="18">
        <v>65742.539999999994</v>
      </c>
      <c r="H534" s="18">
        <v>36627.21</v>
      </c>
      <c r="I534" s="18">
        <v>1192.8900000000001</v>
      </c>
      <c r="J534" s="18">
        <v>1288</v>
      </c>
      <c r="K534" s="18">
        <v>5544.64</v>
      </c>
      <c r="L534" s="88">
        <f>SUM(F534:K534)</f>
        <v>246929.82000000004</v>
      </c>
      <c r="M534" s="8"/>
      <c r="N534" s="264"/>
    </row>
    <row r="535" spans="1:14" s="3" customFormat="1" ht="12.2" customHeight="1" thickTop="1" x14ac:dyDescent="0.15">
      <c r="A535" s="139" t="s">
        <v>67</v>
      </c>
      <c r="B535" s="107">
        <v>21</v>
      </c>
      <c r="C535" s="107">
        <v>12</v>
      </c>
      <c r="D535" s="158" t="s">
        <v>432</v>
      </c>
      <c r="E535" s="107"/>
      <c r="F535" s="89">
        <f>SUM(F532:F534)</f>
        <v>409603.62</v>
      </c>
      <c r="G535" s="89">
        <f t="shared" ref="G535:L535" si="38">SUM(G532:G534)</f>
        <v>197227.62</v>
      </c>
      <c r="H535" s="89">
        <f t="shared" si="38"/>
        <v>109881.63</v>
      </c>
      <c r="I535" s="89">
        <f t="shared" si="38"/>
        <v>3578.67</v>
      </c>
      <c r="J535" s="89">
        <f t="shared" si="38"/>
        <v>3864</v>
      </c>
      <c r="K535" s="89">
        <f t="shared" si="38"/>
        <v>16633.920000000002</v>
      </c>
      <c r="L535" s="89">
        <f t="shared" si="38"/>
        <v>740789.46000000008</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f>98100+98100</f>
        <v>196200</v>
      </c>
      <c r="I542" s="18"/>
      <c r="J542" s="18"/>
      <c r="K542" s="18"/>
      <c r="L542" s="88">
        <f>SUM(F542:K542)</f>
        <v>196200</v>
      </c>
      <c r="M542" s="8"/>
      <c r="N542" s="264"/>
    </row>
    <row r="543" spans="1:14" s="3" customFormat="1" ht="12.2" customHeight="1" x14ac:dyDescent="0.15">
      <c r="A543" s="22" t="s">
        <v>634</v>
      </c>
      <c r="B543" s="105">
        <v>21</v>
      </c>
      <c r="C543" s="105">
        <v>18</v>
      </c>
      <c r="D543" s="2" t="s">
        <v>432</v>
      </c>
      <c r="E543" s="105"/>
      <c r="F543" s="18"/>
      <c r="G543" s="18"/>
      <c r="H543" s="18">
        <f>98100</f>
        <v>98100</v>
      </c>
      <c r="I543" s="18"/>
      <c r="J543" s="18"/>
      <c r="K543" s="18"/>
      <c r="L543" s="88">
        <f>SUM(F543:K543)</f>
        <v>98100</v>
      </c>
      <c r="M543" s="8"/>
      <c r="N543" s="264"/>
    </row>
    <row r="544" spans="1:14" s="3" customFormat="1" ht="12.2" customHeight="1" thickBot="1" x14ac:dyDescent="0.2">
      <c r="A544" s="22" t="s">
        <v>635</v>
      </c>
      <c r="B544" s="105">
        <v>21</v>
      </c>
      <c r="C544" s="105">
        <v>19</v>
      </c>
      <c r="D544" s="2" t="s">
        <v>432</v>
      </c>
      <c r="E544" s="105"/>
      <c r="F544" s="18"/>
      <c r="G544" s="18"/>
      <c r="H544" s="18">
        <f>100245</f>
        <v>100245</v>
      </c>
      <c r="I544" s="18"/>
      <c r="J544" s="18"/>
      <c r="K544" s="18"/>
      <c r="L544" s="88">
        <f>SUM(F544:K544)</f>
        <v>100245</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394545</v>
      </c>
      <c r="I545" s="193">
        <f t="shared" si="40"/>
        <v>0</v>
      </c>
      <c r="J545" s="193">
        <f t="shared" si="40"/>
        <v>0</v>
      </c>
      <c r="K545" s="193">
        <f t="shared" si="40"/>
        <v>0</v>
      </c>
      <c r="L545" s="193">
        <f t="shared" si="40"/>
        <v>394545</v>
      </c>
      <c r="M545" s="8"/>
      <c r="N545" s="264"/>
    </row>
    <row r="546" spans="1:14" s="3" customFormat="1" ht="12.2" customHeight="1" thickTop="1" x14ac:dyDescent="0.15">
      <c r="A546" s="98" t="s">
        <v>72</v>
      </c>
      <c r="B546" s="107">
        <v>21</v>
      </c>
      <c r="C546" s="107">
        <v>21</v>
      </c>
      <c r="D546" s="158" t="s">
        <v>432</v>
      </c>
      <c r="E546" s="107"/>
      <c r="F546" s="89">
        <f>F525+F530+F535+F540+F545</f>
        <v>3112514.9400000004</v>
      </c>
      <c r="G546" s="89">
        <f t="shared" ref="G546:L546" si="41">G525+G530+G535+G540+G545</f>
        <v>1509724.8200000003</v>
      </c>
      <c r="H546" s="89">
        <f t="shared" si="41"/>
        <v>1629570.5299999998</v>
      </c>
      <c r="I546" s="89">
        <f t="shared" si="41"/>
        <v>30747.07</v>
      </c>
      <c r="J546" s="89">
        <f t="shared" si="41"/>
        <v>9458.2999999999993</v>
      </c>
      <c r="K546" s="89">
        <f t="shared" si="41"/>
        <v>25704.520000000004</v>
      </c>
      <c r="L546" s="89">
        <f t="shared" si="41"/>
        <v>6317720.1800000006</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1696848.36</v>
      </c>
      <c r="G550" s="87">
        <f>L527</f>
        <v>980617.69000000018</v>
      </c>
      <c r="H550" s="87">
        <f>L532</f>
        <v>246929.82000000004</v>
      </c>
      <c r="I550" s="87">
        <f>L537</f>
        <v>0</v>
      </c>
      <c r="J550" s="87">
        <f>L542</f>
        <v>196200</v>
      </c>
      <c r="K550" s="87">
        <f>SUM(F550:J550)</f>
        <v>3120595.87</v>
      </c>
      <c r="L550" s="24" t="s">
        <v>288</v>
      </c>
      <c r="M550" s="8"/>
      <c r="N550" s="264"/>
    </row>
    <row r="551" spans="1:14" s="3" customFormat="1" ht="12.2" customHeight="1" x14ac:dyDescent="0.15">
      <c r="A551" s="22" t="s">
        <v>634</v>
      </c>
      <c r="B551" s="75">
        <v>21</v>
      </c>
      <c r="C551" s="75">
        <v>23</v>
      </c>
      <c r="D551" s="2" t="s">
        <v>432</v>
      </c>
      <c r="E551" s="75"/>
      <c r="F551" s="87">
        <f>L523</f>
        <v>1060706.45</v>
      </c>
      <c r="G551" s="87">
        <f>L528</f>
        <v>711784.47</v>
      </c>
      <c r="H551" s="87">
        <f>L533</f>
        <v>246929.82000000004</v>
      </c>
      <c r="I551" s="87">
        <f>L538</f>
        <v>0</v>
      </c>
      <c r="J551" s="87">
        <f>L543</f>
        <v>98100</v>
      </c>
      <c r="K551" s="87">
        <f>SUM(F551:J551)</f>
        <v>2117520.7400000002</v>
      </c>
      <c r="L551" s="24" t="s">
        <v>288</v>
      </c>
      <c r="M551" s="8"/>
      <c r="N551" s="264"/>
    </row>
    <row r="552" spans="1:14" s="3" customFormat="1" ht="12.2" customHeight="1" thickBot="1" x14ac:dyDescent="0.2">
      <c r="A552" s="22" t="s">
        <v>635</v>
      </c>
      <c r="B552" s="75">
        <v>21</v>
      </c>
      <c r="C552" s="75">
        <v>24</v>
      </c>
      <c r="D552" s="2" t="s">
        <v>432</v>
      </c>
      <c r="E552" s="75"/>
      <c r="F552" s="87">
        <f>L524</f>
        <v>732428.75</v>
      </c>
      <c r="G552" s="87">
        <f>L529</f>
        <v>0</v>
      </c>
      <c r="H552" s="87">
        <f>L534</f>
        <v>246929.82000000004</v>
      </c>
      <c r="I552" s="87">
        <f>L539</f>
        <v>0</v>
      </c>
      <c r="J552" s="87">
        <f>L544</f>
        <v>100245</v>
      </c>
      <c r="K552" s="87">
        <f>SUM(F552:J552)</f>
        <v>1079603.57</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3489983.56</v>
      </c>
      <c r="G553" s="89">
        <f t="shared" si="42"/>
        <v>1692402.1600000001</v>
      </c>
      <c r="H553" s="89">
        <f t="shared" si="42"/>
        <v>740789.46000000008</v>
      </c>
      <c r="I553" s="89">
        <f t="shared" si="42"/>
        <v>0</v>
      </c>
      <c r="J553" s="89">
        <f t="shared" si="42"/>
        <v>394545</v>
      </c>
      <c r="K553" s="89">
        <f t="shared" si="42"/>
        <v>6317720.1800000006</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f>2366611.94+234000+3148918.5</f>
        <v>5749530.4399999995</v>
      </c>
      <c r="I576" s="87">
        <f>SUM(F576:H576)</f>
        <v>5749530.4399999995</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f>1620822.6</f>
        <v>1620822.6</v>
      </c>
      <c r="I578" s="87">
        <f t="shared" si="47"/>
        <v>1620822.6</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v>285567.40000000002</v>
      </c>
      <c r="I580" s="87">
        <f t="shared" si="47"/>
        <v>285567.40000000002</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v>76680</v>
      </c>
      <c r="I582" s="87">
        <f t="shared" si="47"/>
        <v>76680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49039.03</v>
      </c>
      <c r="G583" s="18">
        <v>114861.52</v>
      </c>
      <c r="H583" s="18">
        <v>370181.35</v>
      </c>
      <c r="I583" s="87">
        <f t="shared" si="47"/>
        <v>534081.89999999991</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f>240300+1520</f>
        <v>241820</v>
      </c>
      <c r="I592" s="18">
        <v>240300</v>
      </c>
      <c r="J592" s="18">
        <v>170070</v>
      </c>
      <c r="K592" s="104">
        <f t="shared" ref="K592:K598" si="48">SUM(H592:J592)</f>
        <v>652190</v>
      </c>
      <c r="L592" s="24" t="s">
        <v>288</v>
      </c>
      <c r="M592" s="8"/>
      <c r="N592" s="264"/>
    </row>
    <row r="593" spans="1:14" s="3" customFormat="1" ht="12.2" customHeight="1" x14ac:dyDescent="0.15">
      <c r="A593" s="3" t="s">
        <v>638</v>
      </c>
      <c r="B593" s="75">
        <v>23</v>
      </c>
      <c r="C593" s="75">
        <v>2</v>
      </c>
      <c r="D593" s="2" t="s">
        <v>432</v>
      </c>
      <c r="E593" s="75"/>
      <c r="F593" s="102">
        <v>2722</v>
      </c>
      <c r="G593" s="103" t="s">
        <v>97</v>
      </c>
      <c r="H593" s="18">
        <f>98100+98100</f>
        <v>196200</v>
      </c>
      <c r="I593" s="18">
        <v>98100</v>
      </c>
      <c r="J593" s="18">
        <v>100245</v>
      </c>
      <c r="K593" s="104">
        <f t="shared" si="48"/>
        <v>394545</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824</v>
      </c>
      <c r="I596" s="18">
        <v>82</v>
      </c>
      <c r="J596" s="18"/>
      <c r="K596" s="104">
        <f t="shared" si="48"/>
        <v>906</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438844</v>
      </c>
      <c r="I599" s="108">
        <f>SUM(I592:I598)</f>
        <v>338482</v>
      </c>
      <c r="J599" s="108">
        <f>SUM(J592:J598)</f>
        <v>270315</v>
      </c>
      <c r="K599" s="108">
        <f>SUM(K592:K598)</f>
        <v>1047641</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65150.52+1699.83</f>
        <v>66850.349999999991</v>
      </c>
      <c r="I605" s="18">
        <f>56746.69+2311.35</f>
        <v>59058.04</v>
      </c>
      <c r="J605" s="18">
        <v>1288</v>
      </c>
      <c r="K605" s="104">
        <f>SUM(H605:J605)</f>
        <v>127196.38999999998</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66850.349999999991</v>
      </c>
      <c r="I606" s="108">
        <f>SUM(I603:I605)</f>
        <v>59058.04</v>
      </c>
      <c r="J606" s="108">
        <f>SUM(J603:J605)</f>
        <v>1288</v>
      </c>
      <c r="K606" s="108">
        <f>SUM(K603:K605)</f>
        <v>127196.38999999998</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1885541.31</v>
      </c>
      <c r="H618" s="109">
        <f>SUM(F52)</f>
        <v>1885541.31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29841.84</v>
      </c>
      <c r="H619" s="109">
        <f>SUM(G52)</f>
        <v>29841.84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0</v>
      </c>
      <c r="H620" s="109">
        <f>SUM(H52)</f>
        <v>0</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1641068.17</v>
      </c>
      <c r="H622" s="109">
        <f>SUM(J52)</f>
        <v>1641068.17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1373294</v>
      </c>
      <c r="H623" s="109">
        <f>F477</f>
        <v>1373294</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29841.84</v>
      </c>
      <c r="H624" s="109">
        <f>G477</f>
        <v>29841.839999999967</v>
      </c>
      <c r="I624" s="121" t="s">
        <v>102</v>
      </c>
      <c r="J624" s="109">
        <f t="shared" si="50"/>
        <v>3.2741809263825417E-11</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1641068.17</v>
      </c>
      <c r="H627" s="109">
        <f>J477</f>
        <v>1641068.17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25135898.380000003</v>
      </c>
      <c r="H628" s="104">
        <f>SUM(F469)</f>
        <v>25135898.379999999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346360.33</v>
      </c>
      <c r="H629" s="104">
        <f>SUM(G469)</f>
        <v>346360.32999999996</v>
      </c>
      <c r="I629" s="140" t="s">
        <v>107</v>
      </c>
      <c r="J629" s="109">
        <f>G629-H629</f>
        <v>0</v>
      </c>
      <c r="K629" s="85"/>
      <c r="L629" s="88"/>
      <c r="M629" s="8"/>
    </row>
    <row r="630" spans="1:13" s="3" customFormat="1" ht="12.2" customHeight="1" x14ac:dyDescent="0.15">
      <c r="A630" s="22"/>
      <c r="B630" s="105"/>
      <c r="C630" s="105"/>
      <c r="D630" s="105"/>
      <c r="E630" s="105"/>
      <c r="F630" s="120" t="s">
        <v>660</v>
      </c>
      <c r="G630" s="109">
        <f>H194</f>
        <v>542313.39</v>
      </c>
      <c r="H630" s="104">
        <f>SUM(H469)</f>
        <v>542313.39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316629.68</v>
      </c>
      <c r="H631" s="104">
        <f>SUM(I469)</f>
        <v>316629.68</v>
      </c>
      <c r="I631" s="140" t="s">
        <v>109</v>
      </c>
      <c r="J631" s="109">
        <f>G631-H631</f>
        <v>0</v>
      </c>
      <c r="K631" s="85"/>
      <c r="L631" s="88"/>
      <c r="M631" s="8"/>
    </row>
    <row r="632" spans="1:13" s="3" customFormat="1" ht="12.2" customHeight="1" x14ac:dyDescent="0.15">
      <c r="A632" s="22"/>
      <c r="B632" s="105"/>
      <c r="C632" s="105"/>
      <c r="D632" s="105"/>
      <c r="E632" s="105"/>
      <c r="F632" s="120" t="s">
        <v>662</v>
      </c>
      <c r="G632" s="109">
        <f>J194</f>
        <v>355491.33</v>
      </c>
      <c r="H632" s="104">
        <f>SUM(J469)</f>
        <v>355491.32999999996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25114439.002000004</v>
      </c>
      <c r="H633" s="104">
        <f>SUM(F473)</f>
        <v>25114439</v>
      </c>
      <c r="I633" s="140" t="s">
        <v>111</v>
      </c>
      <c r="J633" s="109">
        <f t="shared" si="50"/>
        <v>2.0000040531158447E-3</v>
      </c>
      <c r="K633" s="85"/>
      <c r="L633" s="88"/>
      <c r="M633" s="8"/>
    </row>
    <row r="634" spans="1:13" s="3" customFormat="1" ht="12.2" customHeight="1" x14ac:dyDescent="0.15">
      <c r="A634" s="22"/>
      <c r="B634" s="105"/>
      <c r="C634" s="105"/>
      <c r="D634" s="105"/>
      <c r="E634" s="105"/>
      <c r="F634" s="120" t="s">
        <v>395</v>
      </c>
      <c r="G634" s="109">
        <f>SUM(L353)</f>
        <v>542313.39199999999</v>
      </c>
      <c r="H634" s="104">
        <f>SUM(H473)</f>
        <v>542313.39</v>
      </c>
      <c r="I634" s="140" t="s">
        <v>112</v>
      </c>
      <c r="J634" s="109">
        <f>G634-H634</f>
        <v>1.9999999785795808E-3</v>
      </c>
      <c r="K634" s="85"/>
      <c r="L634" s="88"/>
      <c r="M634" s="8"/>
    </row>
    <row r="635" spans="1:13" s="169" customFormat="1" ht="12.2" customHeight="1" x14ac:dyDescent="0.15">
      <c r="A635" s="22"/>
      <c r="B635" s="105"/>
      <c r="C635" s="105"/>
      <c r="D635" s="105"/>
      <c r="E635" s="105"/>
      <c r="F635" s="142" t="s">
        <v>247</v>
      </c>
      <c r="G635" s="109">
        <f>I363</f>
        <v>0</v>
      </c>
      <c r="H635" s="104">
        <f>I370</f>
        <v>0</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316518.49</v>
      </c>
      <c r="H636" s="104">
        <f>SUM(G473)</f>
        <v>316518.49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316629.68</v>
      </c>
      <c r="H637" s="104">
        <f>SUM(I473)</f>
        <v>316629.68</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355491.32999999996</v>
      </c>
      <c r="H638" s="164">
        <f>SUM(J469)</f>
        <v>355491.32999999996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273180</v>
      </c>
      <c r="H639" s="164">
        <f>SUM(J473)</f>
        <v>273180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1641068.17</v>
      </c>
      <c r="H640" s="104">
        <f>SUM(F462)</f>
        <v>1641068.17</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0</v>
      </c>
      <c r="H641" s="104">
        <f>SUM(G462)</f>
        <v>0</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1641068.17</v>
      </c>
      <c r="H643" s="104">
        <f>SUM(I462)</f>
        <v>1641068.17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5491.33</v>
      </c>
      <c r="H645" s="104">
        <f>H409</f>
        <v>5491.33</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350000</v>
      </c>
      <c r="H646" s="104">
        <f>G409</f>
        <v>350000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355491.33</v>
      </c>
      <c r="H647" s="104">
        <f>L409</f>
        <v>355491.32999999996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1047641</v>
      </c>
      <c r="H648" s="104">
        <f>L209+L227+L245</f>
        <v>1047641</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127196.38999999998</v>
      </c>
      <c r="H649" s="104">
        <f>(J258+J339)-(J256+J337)</f>
        <v>127196.387</v>
      </c>
      <c r="I649" s="140" t="s">
        <v>699</v>
      </c>
      <c r="J649" s="109">
        <f t="shared" si="50"/>
        <v>2.9999999824212864E-3</v>
      </c>
      <c r="K649" s="85"/>
      <c r="L649" s="88"/>
      <c r="M649" s="8"/>
    </row>
    <row r="650" spans="1:13" s="3" customFormat="1" ht="12.2" customHeight="1" x14ac:dyDescent="0.15">
      <c r="A650" s="22"/>
      <c r="B650" s="105"/>
      <c r="C650" s="105"/>
      <c r="D650" s="105"/>
      <c r="E650" s="105"/>
      <c r="F650" s="120" t="s">
        <v>387</v>
      </c>
      <c r="G650" s="109">
        <f>L209</f>
        <v>438844</v>
      </c>
      <c r="H650" s="104">
        <f>H599</f>
        <v>438844</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338482</v>
      </c>
      <c r="H651" s="104">
        <f>I599</f>
        <v>338482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270315</v>
      </c>
      <c r="H652" s="104">
        <f>J599</f>
        <v>270315</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350000</v>
      </c>
      <c r="H656" s="104">
        <f>K267+K348</f>
        <v>350000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6.9999992847442627E-3</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8921266.7986666653</v>
      </c>
      <c r="G661" s="19">
        <f>(L230+L310+L360)</f>
        <v>7170129.388666668</v>
      </c>
      <c r="H661" s="19">
        <f>(L248+L329+L361)</f>
        <v>8650019.6966666672</v>
      </c>
      <c r="I661" s="19">
        <f>SUM(F661:H661)</f>
        <v>24741415.884000003</v>
      </c>
      <c r="J661" s="13"/>
      <c r="K661" s="13"/>
      <c r="L661" s="13"/>
      <c r="M661" s="9"/>
    </row>
    <row r="662" spans="1:13" s="3" customFormat="1" ht="12.2" customHeight="1" x14ac:dyDescent="0.2">
      <c r="A662" s="1" t="s">
        <v>127</v>
      </c>
      <c r="F662" s="19">
        <f>(L359/IF(SUM(L359:L361)=0,1,SUM(L359:L361))*(SUM(G97:G110)))</f>
        <v>18797.59193834</v>
      </c>
      <c r="G662" s="19">
        <f>(L360/IF(SUM(L359:L361)=0,1,SUM(L359:L361))*(SUM(G97:G110)))</f>
        <v>18796.998061659997</v>
      </c>
      <c r="H662" s="19">
        <f>(L361/IF(SUM(L359:L361)=0,1,SUM(L359:L361))*(SUM(G97:G110)))</f>
        <v>0</v>
      </c>
      <c r="I662" s="19">
        <f>SUM(F662:H662)</f>
        <v>37594.589999999997</v>
      </c>
      <c r="J662"/>
      <c r="K662" s="13"/>
      <c r="L662" s="13"/>
      <c r="M662" s="8"/>
    </row>
    <row r="663" spans="1:13" s="3" customFormat="1" ht="12.2" customHeight="1" x14ac:dyDescent="0.2">
      <c r="A663" s="1" t="s">
        <v>128</v>
      </c>
      <c r="F663" s="19">
        <f>(L209+L288)-(J209+J288)</f>
        <v>438844</v>
      </c>
      <c r="G663" s="19">
        <f>(L227+L307)-(J227+J307)</f>
        <v>338482</v>
      </c>
      <c r="H663" s="19">
        <f>(L245+L326)-(J245+J326)</f>
        <v>270315</v>
      </c>
      <c r="I663" s="19">
        <f>SUM(F663:H663)</f>
        <v>1047641</v>
      </c>
      <c r="J663"/>
      <c r="K663" s="13"/>
      <c r="L663" s="13"/>
      <c r="M663" s="9"/>
    </row>
    <row r="664" spans="1:13" s="3" customFormat="1" ht="12.2" customHeight="1" x14ac:dyDescent="0.15">
      <c r="A664" s="198" t="s">
        <v>129</v>
      </c>
      <c r="B664" s="169"/>
      <c r="C664" s="169"/>
      <c r="D664" s="169"/>
      <c r="E664" s="169"/>
      <c r="F664" s="199">
        <f>SUM(F576:F588)+SUM(H603:H605)+SUM(L612)</f>
        <v>115889.37999999999</v>
      </c>
      <c r="G664" s="199">
        <f>SUM(G576:G588)+SUM(I603:I605)+L613</f>
        <v>173919.56</v>
      </c>
      <c r="H664" s="199">
        <f>SUM(H576:H588)+SUM(J603:J605)+L614</f>
        <v>8104069.7899999991</v>
      </c>
      <c r="I664" s="19">
        <f>SUM(F664:H664)</f>
        <v>8393878.7299999986</v>
      </c>
      <c r="J664" s="13"/>
      <c r="K664" s="13"/>
      <c r="L664" s="13"/>
      <c r="M664" s="9"/>
    </row>
    <row r="665" spans="1:13" s="3" customFormat="1" ht="12.2" customHeight="1" x14ac:dyDescent="0.15">
      <c r="A665" s="1" t="s">
        <v>130</v>
      </c>
      <c r="F665" s="19">
        <f>F661-SUM(F662:F664)</f>
        <v>8347735.8267283253</v>
      </c>
      <c r="G665" s="19">
        <f>G661-SUM(G662:G664)</f>
        <v>6638930.8306050077</v>
      </c>
      <c r="H665" s="19">
        <f>H661-SUM(H662:H664)</f>
        <v>275634.90666666813</v>
      </c>
      <c r="I665" s="19">
        <f>I661-SUM(I662:I664)</f>
        <v>15262301.564000005</v>
      </c>
      <c r="J665" s="13"/>
      <c r="K665" s="13"/>
      <c r="L665" s="13"/>
      <c r="M665" s="8"/>
    </row>
    <row r="666" spans="1:13" s="3" customFormat="1" ht="12.2" customHeight="1" x14ac:dyDescent="0.25">
      <c r="A666" s="1" t="s">
        <v>131</v>
      </c>
      <c r="F666" s="360">
        <v>497.66</v>
      </c>
      <c r="G666" s="360">
        <v>389.86</v>
      </c>
      <c r="H666" s="360">
        <v>0</v>
      </c>
      <c r="I666" s="19">
        <f>SUM(F666:H666)</f>
        <v>887.52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16773.97</v>
      </c>
      <c r="G668" s="19">
        <f>ROUND(G665/G666,2)</f>
        <v>17029.009999999998</v>
      </c>
      <c r="H668" s="19" t="e">
        <f>ROUND(H665/H666,2)</f>
        <v>#DIV/0!</v>
      </c>
      <c r="I668" s="19">
        <f>ROUND(I665/I666,2)</f>
        <v>17196.57</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-275634.90999999997</v>
      </c>
      <c r="I670" s="19">
        <f>SUM(F670:H670)</f>
        <v>-275634.90999999997</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16773.97</v>
      </c>
      <c r="G673" s="19">
        <f>ROUND((G665+G670)/(G666+G671),2)</f>
        <v>17029.009999999998</v>
      </c>
      <c r="H673" s="19" t="e">
        <f>ROUND((H665+H670)/(H666+H671),2)</f>
        <v>#DIV/0!</v>
      </c>
      <c r="I673" s="19">
        <f>ROUND((I665+I670)/(I666+I671),2)</f>
        <v>16886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150" zoomScaleNormal="150" workbookViewId="0">
      <selection activeCell="C29" sqref="C29"/>
    </sheetView>
  </sheetViews>
  <sheetFormatPr defaultColWidth="9.1640625" defaultRowHeight="15" x14ac:dyDescent="0.25"/>
  <cols>
    <col min="1" max="2" width="9.1640625" style="340"/>
    <col min="3" max="3" width="154.5" style="340" customWidth="1"/>
    <col min="4" max="4" width="9.1640625" style="340"/>
    <col min="5" max="5" width="14.1640625" style="340" customWidth="1"/>
    <col min="6" max="7" width="9.1640625" style="340"/>
    <col min="8" max="8" width="23.1640625" style="340" customWidth="1"/>
    <col min="9" max="9" width="14.1640625" style="340" customWidth="1"/>
    <col min="10" max="16384" width="9.1640625" style="340"/>
  </cols>
  <sheetData>
    <row r="2" spans="2:6" x14ac:dyDescent="0.25">
      <c r="C2" s="361" t="s">
        <v>1669</v>
      </c>
      <c r="D2" s="361"/>
      <c r="E2" s="361"/>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64497.58</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59">
        <v>316629.68</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f>46780.73+86400</f>
        <v>133180.73000000001</v>
      </c>
      <c r="F22" s="346"/>
    </row>
    <row r="23" spans="2:8" x14ac:dyDescent="0.25">
      <c r="B23" s="346"/>
      <c r="C23" s="346"/>
      <c r="D23" s="346"/>
      <c r="E23" s="346"/>
      <c r="F23" s="346"/>
    </row>
    <row r="24" spans="2:8" ht="26.25" customHeight="1" x14ac:dyDescent="0.25">
      <c r="B24" s="346"/>
      <c r="C24" s="348" t="s">
        <v>1661</v>
      </c>
      <c r="D24" s="346"/>
      <c r="E24" s="341">
        <f>14875+1137.94+2647.75+15077.72+18535.65</f>
        <v>52274.060000000005</v>
      </c>
      <c r="F24" s="346"/>
    </row>
    <row r="25" spans="2:8" ht="18" x14ac:dyDescent="0.25">
      <c r="B25" s="346"/>
      <c r="C25" s="349"/>
      <c r="D25" s="346"/>
      <c r="E25" s="346"/>
      <c r="F25" s="346"/>
    </row>
    <row r="26" spans="2:8" ht="27.75" customHeight="1" x14ac:dyDescent="0.25">
      <c r="B26" s="346"/>
      <c r="C26" s="348" t="s">
        <v>1662</v>
      </c>
      <c r="D26" s="346"/>
      <c r="E26" s="341">
        <f>24613.68+9334.75+1882.95+2749.35</f>
        <v>38580.729999999996</v>
      </c>
      <c r="F26" s="346"/>
    </row>
    <row r="27" spans="2:8" x14ac:dyDescent="0.25">
      <c r="B27" s="346"/>
      <c r="C27" s="348"/>
      <c r="D27" s="346"/>
      <c r="E27" s="346"/>
      <c r="F27" s="346"/>
    </row>
    <row r="28" spans="2:8" ht="15.75" customHeight="1" x14ac:dyDescent="0.25">
      <c r="B28" s="346"/>
      <c r="C28" s="348" t="s">
        <v>1663</v>
      </c>
      <c r="D28" s="346"/>
      <c r="E28" s="342">
        <f>8200+118308+11503.71+5100+4835</f>
        <v>147946.71</v>
      </c>
      <c r="F28" s="346"/>
    </row>
    <row r="29" spans="2:8" x14ac:dyDescent="0.25">
      <c r="B29" s="346"/>
      <c r="C29" s="346"/>
      <c r="D29" s="346"/>
      <c r="E29" s="346"/>
      <c r="F29" s="346"/>
    </row>
    <row r="30" spans="2:8" ht="16.5" customHeight="1" x14ac:dyDescent="0.25">
      <c r="B30" s="346"/>
      <c r="C30" s="348" t="s">
        <v>1664</v>
      </c>
      <c r="D30" s="346"/>
      <c r="E30" s="341">
        <f>3399.65+66092+9522</f>
        <v>79013.649999999994</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83"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125" zoomScaleNormal="125" workbookViewId="0">
      <selection activeCell="B3" sqref="B3"/>
    </sheetView>
  </sheetViews>
  <sheetFormatPr defaultColWidth="8.6640625"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2" t="s">
        <v>1575</v>
      </c>
      <c r="B1" s="362"/>
      <c r="C1" s="362"/>
      <c r="D1" s="362"/>
      <c r="E1" s="362"/>
      <c r="F1" s="362"/>
      <c r="G1" s="362"/>
      <c r="H1" s="362"/>
    </row>
    <row r="2" spans="1:9" ht="15" x14ac:dyDescent="0.2">
      <c r="A2" s="362" t="s">
        <v>1627</v>
      </c>
      <c r="B2" s="362"/>
      <c r="C2" s="362"/>
      <c r="D2" s="362"/>
      <c r="E2" s="362"/>
      <c r="F2" s="362"/>
      <c r="G2" s="362"/>
      <c r="H2" s="362"/>
    </row>
    <row r="3" spans="1:9" ht="15.75" x14ac:dyDescent="0.25">
      <c r="A3" s="321" t="s">
        <v>1589</v>
      </c>
      <c r="B3" s="322" t="s">
        <v>1621</v>
      </c>
      <c r="C3" s="320"/>
      <c r="D3" s="320"/>
      <c r="E3" s="320"/>
      <c r="F3" s="320"/>
      <c r="G3" s="320"/>
      <c r="H3" s="320"/>
      <c r="I3" t="s">
        <v>1621</v>
      </c>
    </row>
    <row r="4" spans="1:9" x14ac:dyDescent="0.2">
      <c r="I4" t="s">
        <v>1622</v>
      </c>
    </row>
    <row r="5" spans="1:9" ht="15.75" x14ac:dyDescent="0.25">
      <c r="A5" s="316" t="s">
        <v>908</v>
      </c>
      <c r="B5" s="363" t="str">
        <f>'DOE25'!A2</f>
        <v>SAU #74 Barrington School District</v>
      </c>
      <c r="C5" s="364"/>
      <c r="D5" s="364"/>
      <c r="E5" s="364"/>
      <c r="F5" s="364"/>
    </row>
    <row r="8" spans="1:9" ht="18" x14ac:dyDescent="0.25">
      <c r="A8" s="317" t="s">
        <v>1576</v>
      </c>
      <c r="F8" s="324" t="s">
        <v>1594</v>
      </c>
    </row>
    <row r="9" spans="1:9" ht="15" x14ac:dyDescent="0.2">
      <c r="A9" s="315" t="s">
        <v>1577</v>
      </c>
      <c r="B9" s="318">
        <f>'DOE25'!G97</f>
        <v>37594.589999999997</v>
      </c>
      <c r="F9" s="315" t="s">
        <v>1590</v>
      </c>
    </row>
    <row r="10" spans="1:9" ht="15" x14ac:dyDescent="0.2">
      <c r="A10" s="315" t="s">
        <v>1578</v>
      </c>
      <c r="B10" s="318">
        <f>'DOE25'!G112-'DOE25'!G97</f>
        <v>0</v>
      </c>
      <c r="F10" s="315" t="s">
        <v>1591</v>
      </c>
    </row>
    <row r="11" spans="1:9" ht="15" x14ac:dyDescent="0.2">
      <c r="A11" s="315" t="s">
        <v>1579</v>
      </c>
      <c r="B11" s="318">
        <f>'DOE25'!G140</f>
        <v>4510.49</v>
      </c>
      <c r="F11" s="315" t="s">
        <v>1592</v>
      </c>
    </row>
    <row r="12" spans="1:9" ht="15" x14ac:dyDescent="0.2">
      <c r="A12" s="315" t="s">
        <v>1580</v>
      </c>
      <c r="B12" s="318">
        <f>'DOE25'!G170</f>
        <v>304255.25</v>
      </c>
      <c r="F12" s="315" t="s">
        <v>1593</v>
      </c>
    </row>
    <row r="13" spans="1:9" ht="15" x14ac:dyDescent="0.2">
      <c r="A13" s="315" t="s">
        <v>1581</v>
      </c>
      <c r="B13" s="318">
        <f>'DOE25'!G193-'DOE25'!G180</f>
        <v>0</v>
      </c>
      <c r="F13" s="315" t="s">
        <v>1603</v>
      </c>
    </row>
    <row r="14" spans="1:9" ht="18" x14ac:dyDescent="0.25">
      <c r="A14" s="317" t="s">
        <v>732</v>
      </c>
      <c r="B14" s="319">
        <f>SUM(B9:B13)</f>
        <v>346360.33</v>
      </c>
    </row>
    <row r="16" spans="1:9" ht="18" x14ac:dyDescent="0.25">
      <c r="A16" s="317" t="s">
        <v>786</v>
      </c>
      <c r="F16" s="324" t="s">
        <v>1595</v>
      </c>
    </row>
    <row r="17" spans="1:6" ht="15" x14ac:dyDescent="0.2">
      <c r="A17" s="315" t="s">
        <v>1582</v>
      </c>
      <c r="B17" s="318">
        <f>'DOE25'!L363-'DOE25'!L362</f>
        <v>316518.49</v>
      </c>
      <c r="F17" s="315" t="s">
        <v>1596</v>
      </c>
    </row>
    <row r="18" spans="1:6" ht="15" x14ac:dyDescent="0.2">
      <c r="A18" s="315" t="s">
        <v>1583</v>
      </c>
      <c r="B18" s="328"/>
      <c r="F18" s="324" t="s">
        <v>1620</v>
      </c>
    </row>
    <row r="19" spans="1:6" ht="18" x14ac:dyDescent="0.25">
      <c r="A19" s="317" t="s">
        <v>725</v>
      </c>
      <c r="B19" s="319">
        <f>SUM(B17:B18)</f>
        <v>316518.49</v>
      </c>
    </row>
    <row r="21" spans="1:6" ht="18.75" thickBot="1" x14ac:dyDescent="0.3">
      <c r="A21" s="317" t="s">
        <v>1584</v>
      </c>
    </row>
    <row r="22" spans="1:6" ht="18.75" thickTop="1" x14ac:dyDescent="0.25">
      <c r="A22" s="317" t="s">
        <v>1585</v>
      </c>
      <c r="B22" s="323">
        <f>B14-B19</f>
        <v>29841.840000000026</v>
      </c>
      <c r="F22" s="315" t="s">
        <v>1597</v>
      </c>
    </row>
    <row r="26" spans="1:6" ht="18" x14ac:dyDescent="0.25">
      <c r="A26" s="317" t="s">
        <v>186</v>
      </c>
    </row>
    <row r="27" spans="1:6" ht="15" x14ac:dyDescent="0.2">
      <c r="A27" s="315" t="s">
        <v>1586</v>
      </c>
      <c r="B27" s="318">
        <f>'DOE25'!G180</f>
        <v>0</v>
      </c>
      <c r="F27" s="315" t="s">
        <v>1598</v>
      </c>
    </row>
    <row r="28" spans="1:6" ht="15" x14ac:dyDescent="0.2">
      <c r="A28" s="315" t="s">
        <v>1588</v>
      </c>
      <c r="B28" s="318">
        <f>'DOE25'!L362</f>
        <v>0</v>
      </c>
      <c r="F28" s="315" t="s">
        <v>1599</v>
      </c>
    </row>
    <row r="31" spans="1:6" ht="15" x14ac:dyDescent="0.2">
      <c r="A31" s="315" t="s">
        <v>1628</v>
      </c>
      <c r="B31" s="318">
        <f>'DOE25'!G466</f>
        <v>0</v>
      </c>
      <c r="F31" s="315" t="s">
        <v>1600</v>
      </c>
    </row>
    <row r="33" spans="1:6" ht="15" x14ac:dyDescent="0.2">
      <c r="A33" s="315" t="s">
        <v>1629</v>
      </c>
      <c r="B33" s="318">
        <f>'DOE25'!G477</f>
        <v>29841.839999999967</v>
      </c>
      <c r="F33" s="315" t="s">
        <v>1601</v>
      </c>
    </row>
    <row r="36" spans="1:6" ht="15" x14ac:dyDescent="0.2">
      <c r="A36" s="315" t="s">
        <v>1587</v>
      </c>
      <c r="B36" s="329">
        <v>39654.589999999997</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zoomScale="150" zoomScaleNormal="150" workbookViewId="0">
      <selection activeCell="B24" sqref="B24:C24"/>
    </sheetView>
  </sheetViews>
  <sheetFormatPr defaultColWidth="8.6640625" defaultRowHeight="11.25" x14ac:dyDescent="0.2"/>
  <cols>
    <col min="1" max="1" width="26.6640625" customWidth="1"/>
    <col min="2" max="2" width="33.6640625" customWidth="1"/>
    <col min="3" max="3" width="29.5" customWidth="1"/>
  </cols>
  <sheetData>
    <row r="1" spans="1:3" x14ac:dyDescent="0.2">
      <c r="A1" s="233" t="s">
        <v>781</v>
      </c>
      <c r="B1" s="232" t="str">
        <f>'DOE25'!A2</f>
        <v>SAU #74 Barrington School District</v>
      </c>
      <c r="C1" s="238" t="s">
        <v>824</v>
      </c>
    </row>
    <row r="2" spans="1:3" x14ac:dyDescent="0.2">
      <c r="A2" s="233"/>
      <c r="B2" s="232"/>
    </row>
    <row r="3" spans="1:3" x14ac:dyDescent="0.2">
      <c r="A3" s="361" t="s">
        <v>780</v>
      </c>
      <c r="B3" s="361"/>
      <c r="C3" s="361"/>
    </row>
    <row r="4" spans="1:3" x14ac:dyDescent="0.2">
      <c r="A4" s="236"/>
      <c r="B4" s="237" t="str">
        <f>'DOE25'!H1</f>
        <v>DOE 25  2020-2021</v>
      </c>
      <c r="C4" s="236"/>
    </row>
    <row r="5" spans="1:3" x14ac:dyDescent="0.2">
      <c r="A5" s="233"/>
      <c r="B5" s="232"/>
    </row>
    <row r="6" spans="1:3" x14ac:dyDescent="0.2">
      <c r="A6" s="227"/>
      <c r="B6" s="367" t="s">
        <v>779</v>
      </c>
      <c r="C6" s="367"/>
    </row>
    <row r="7" spans="1:3" x14ac:dyDescent="0.2">
      <c r="A7" s="239" t="s">
        <v>782</v>
      </c>
      <c r="B7" s="365" t="s">
        <v>778</v>
      </c>
      <c r="C7" s="366"/>
    </row>
    <row r="8" spans="1:3" x14ac:dyDescent="0.2">
      <c r="B8" s="228" t="s">
        <v>54</v>
      </c>
      <c r="C8" s="228" t="s">
        <v>772</v>
      </c>
    </row>
    <row r="9" spans="1:3" x14ac:dyDescent="0.2">
      <c r="A9" s="33" t="s">
        <v>773</v>
      </c>
      <c r="B9" s="229">
        <f>'DOE25'!F198+'DOE25'!F216+'DOE25'!F234+'DOE25'!F277+'DOE25'!F296+'DOE25'!F315</f>
        <v>4143655.47</v>
      </c>
      <c r="C9" s="229">
        <f>'DOE25'!G198+'DOE25'!G216+'DOE25'!G234+'DOE25'!G277+'DOE25'!G296+'DOE25'!G315</f>
        <v>2105564.0299999998</v>
      </c>
    </row>
    <row r="10" spans="1:3" x14ac:dyDescent="0.2">
      <c r="A10" t="s">
        <v>775</v>
      </c>
      <c r="B10" s="240">
        <f>7336.67+92666.55+197781.88+1524467.04+309249.82+1645543.84+14875+11462.5+10237.51</f>
        <v>3813620.8099999996</v>
      </c>
      <c r="C10" s="240">
        <f>31880.4+442351.49+141924.25+399747.71+1137.56+11225.66+3544.06+11792.22+108+1002+429+1038+527.16+4173.02+1222.66+4293.2+134723.3+34871.87+276392.34+72088.45+314582.3+13951.72+13951.71+1137.94+2647.75+876.9+2025.74+2482.7</f>
        <v>1926129.11</v>
      </c>
    </row>
    <row r="11" spans="1:3" x14ac:dyDescent="0.2">
      <c r="A11" t="s">
        <v>776</v>
      </c>
      <c r="B11" s="240">
        <f>140464.45+69121.25+7720</f>
        <v>217305.7</v>
      </c>
      <c r="C11" s="240">
        <f>16067.41+117522.17+591.08+562.79+5225.12+2547</f>
        <v>142515.56999999998</v>
      </c>
    </row>
    <row r="12" spans="1:3" x14ac:dyDescent="0.2">
      <c r="A12" t="s">
        <v>777</v>
      </c>
      <c r="B12" s="240">
        <f>37853.3+24233.75+50641.91</f>
        <v>112728.96000000001</v>
      </c>
      <c r="C12" s="240">
        <v>36919.35</v>
      </c>
    </row>
    <row r="13" spans="1:3" x14ac:dyDescent="0.2">
      <c r="A13" t="str">
        <f>IF(B9=B13,IF(C9=C13,"Check Total OK","Check Total Error"),"Check Total Error")</f>
        <v>Check Total OK</v>
      </c>
      <c r="B13" s="231">
        <f>SUM(B10:B12)</f>
        <v>4143655.4699999997</v>
      </c>
      <c r="C13" s="231">
        <f>SUM(C10:C12)</f>
        <v>2105564.0300000003</v>
      </c>
    </row>
    <row r="14" spans="1:3" x14ac:dyDescent="0.2">
      <c r="B14" s="230"/>
      <c r="C14" s="230"/>
    </row>
    <row r="15" spans="1:3" x14ac:dyDescent="0.2">
      <c r="B15" s="367" t="s">
        <v>779</v>
      </c>
      <c r="C15" s="367"/>
    </row>
    <row r="16" spans="1:3" x14ac:dyDescent="0.2">
      <c r="A16" s="239" t="s">
        <v>783</v>
      </c>
      <c r="B16" s="365" t="s">
        <v>703</v>
      </c>
      <c r="C16" s="366"/>
    </row>
    <row r="17" spans="1:3" x14ac:dyDescent="0.2">
      <c r="B17" s="228" t="s">
        <v>54</v>
      </c>
      <c r="C17" s="228" t="s">
        <v>772</v>
      </c>
    </row>
    <row r="18" spans="1:3" x14ac:dyDescent="0.2">
      <c r="A18" s="33" t="s">
        <v>773</v>
      </c>
      <c r="B18" s="229">
        <f>'DOE25'!F199+'DOE25'!F217+'DOE25'!F235+'DOE25'!F278+'DOE25'!F297+'DOE25'!F316</f>
        <v>1590543.9500000002</v>
      </c>
      <c r="C18" s="229">
        <f>'DOE25'!G199+'DOE25'!G217+'DOE25'!G235+'DOE25'!G278+'DOE25'!G297+'DOE25'!G316</f>
        <v>786449.04700000014</v>
      </c>
    </row>
    <row r="19" spans="1:3" x14ac:dyDescent="0.2">
      <c r="A19" t="s">
        <v>775</v>
      </c>
      <c r="B19" s="240">
        <f>214872.67+106000.18+261744.76+105016.03+42527.97+43500.08+26866.36</f>
        <v>800528.04999999993</v>
      </c>
      <c r="C19" s="240">
        <f>176250.11+82169.58+13668.46+3253.36+7547.54+2919.02+7776.84+19145.6+7958.54+94543.97</f>
        <v>415233.02</v>
      </c>
    </row>
    <row r="20" spans="1:3" x14ac:dyDescent="0.2">
      <c r="A20" t="s">
        <v>776</v>
      </c>
      <c r="B20" s="240">
        <f>360586.63+148346.22+224897.4</f>
        <v>733830.25</v>
      </c>
      <c r="C20" s="240">
        <f>152596.95+2978.32+43852.5+19261.15+35389.92+7774.93+5152.24+94543.98</f>
        <v>361549.99</v>
      </c>
    </row>
    <row r="21" spans="1:3" x14ac:dyDescent="0.2">
      <c r="A21" t="s">
        <v>777</v>
      </c>
      <c r="B21" s="240">
        <v>56185.65</v>
      </c>
      <c r="C21" s="240">
        <v>9666.0400000000009</v>
      </c>
    </row>
    <row r="22" spans="1:3" x14ac:dyDescent="0.2">
      <c r="A22" t="str">
        <f>IF(B18=B22,IF(C18=C22,"Check Total OK","Check Total Error"),"Check Total Error")</f>
        <v>Check Total Error</v>
      </c>
      <c r="B22" s="231">
        <f>SUM(B19:B21)</f>
        <v>1590543.9499999997</v>
      </c>
      <c r="C22" s="231">
        <f>SUM(C19:C21)</f>
        <v>786449.05</v>
      </c>
    </row>
    <row r="23" spans="1:3" x14ac:dyDescent="0.2">
      <c r="B23" s="230"/>
      <c r="C23" s="230"/>
    </row>
    <row r="24" spans="1:3" x14ac:dyDescent="0.2">
      <c r="B24" s="367" t="s">
        <v>779</v>
      </c>
      <c r="C24" s="367"/>
    </row>
    <row r="25" spans="1:3" x14ac:dyDescent="0.2">
      <c r="A25" s="239" t="s">
        <v>784</v>
      </c>
      <c r="B25" s="365" t="s">
        <v>704</v>
      </c>
      <c r="C25" s="36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67" t="s">
        <v>779</v>
      </c>
      <c r="C33" s="367"/>
    </row>
    <row r="34" spans="1:3" x14ac:dyDescent="0.2">
      <c r="A34" s="239" t="s">
        <v>785</v>
      </c>
      <c r="B34" s="365" t="s">
        <v>705</v>
      </c>
      <c r="C34" s="366"/>
    </row>
    <row r="35" spans="1:3" x14ac:dyDescent="0.2">
      <c r="B35" s="228" t="s">
        <v>54</v>
      </c>
      <c r="C35" s="228" t="s">
        <v>772</v>
      </c>
    </row>
    <row r="36" spans="1:3" x14ac:dyDescent="0.2">
      <c r="A36" s="33" t="s">
        <v>773</v>
      </c>
      <c r="B36" s="235">
        <f>'DOE25'!F201+'DOE25'!F219+'DOE25'!F237+'DOE25'!F280+'DOE25'!F299+'DOE25'!F318</f>
        <v>34950</v>
      </c>
      <c r="C36" s="235">
        <f>'DOE25'!G201+'DOE25'!G219+'DOE25'!G237+'DOE25'!G280+'DOE25'!G299+'DOE25'!G318</f>
        <v>10164.86</v>
      </c>
    </row>
    <row r="37" spans="1:3" x14ac:dyDescent="0.2">
      <c r="A37" t="s">
        <v>775</v>
      </c>
      <c r="B37" s="240">
        <v>34950</v>
      </c>
      <c r="C37" s="240">
        <v>10164.86</v>
      </c>
    </row>
    <row r="38" spans="1:3" x14ac:dyDescent="0.2">
      <c r="A38" t="s">
        <v>776</v>
      </c>
      <c r="B38" s="240"/>
      <c r="C38" s="240"/>
    </row>
    <row r="39" spans="1:3" x14ac:dyDescent="0.2">
      <c r="A39" t="s">
        <v>777</v>
      </c>
      <c r="B39" s="240" t="s">
        <v>286</v>
      </c>
      <c r="C39" s="240" t="s">
        <v>286</v>
      </c>
    </row>
    <row r="40" spans="1:3" x14ac:dyDescent="0.2">
      <c r="A40" t="str">
        <f>IF(B36=B40,IF(C36=C40,"Check Total OK","Check Total Error"),"Check Total Error")</f>
        <v>Check Total OK</v>
      </c>
      <c r="B40" s="231">
        <f>SUM(B37:B39)</f>
        <v>34950</v>
      </c>
      <c r="C40" s="231">
        <f>SUM(C37:C39)</f>
        <v>10164.86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200" zoomScaleNormal="200" workbookViewId="0">
      <pane ySplit="4" topLeftCell="A5" activePane="bottomLeft" state="frozen"/>
      <selection activeCell="F46" sqref="F46"/>
      <selection pane="bottomLeft" activeCell="F36" sqref="F36"/>
    </sheetView>
  </sheetViews>
  <sheetFormatPr defaultColWidth="8.6640625" defaultRowHeight="11.25" x14ac:dyDescent="0.2"/>
  <cols>
    <col min="1" max="1" width="10.6640625" customWidth="1"/>
    <col min="2" max="2" width="41.1640625" customWidth="1"/>
    <col min="3" max="3" width="22.6640625" customWidth="1"/>
    <col min="4" max="4" width="20.5" customWidth="1"/>
    <col min="5" max="5" width="19.1640625" customWidth="1"/>
    <col min="6" max="6" width="26.6640625" customWidth="1"/>
    <col min="7" max="7" width="17.6640625" customWidth="1"/>
    <col min="8" max="8" width="17.1640625" customWidth="1"/>
    <col min="9" max="9" width="15.6640625" customWidth="1"/>
  </cols>
  <sheetData>
    <row r="1" spans="1:9" x14ac:dyDescent="0.2">
      <c r="A1" s="367" t="s">
        <v>892</v>
      </c>
      <c r="B1" s="370"/>
      <c r="C1" s="370"/>
      <c r="D1" s="370"/>
      <c r="E1" s="370"/>
      <c r="F1" s="370"/>
      <c r="G1" s="370"/>
      <c r="H1" s="370"/>
      <c r="I1" s="181"/>
    </row>
    <row r="2" spans="1:9" x14ac:dyDescent="0.2">
      <c r="A2" s="33" t="s">
        <v>713</v>
      </c>
      <c r="B2" s="258" t="str">
        <f>'DOE25'!A2</f>
        <v>SAU #74 Barrington School District</v>
      </c>
      <c r="C2" s="275"/>
      <c r="D2" s="181" t="s">
        <v>787</v>
      </c>
      <c r="E2" s="181" t="s">
        <v>789</v>
      </c>
      <c r="F2" s="368" t="s">
        <v>891</v>
      </c>
      <c r="G2" s="369"/>
      <c r="H2" s="369"/>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16928758.41</v>
      </c>
      <c r="D5" s="20">
        <f>SUM('DOE25'!L198:L201)+SUM('DOE25'!L216:L219)+SUM('DOE25'!L234:L237)-F5-G5-H5</f>
        <v>16916771.16</v>
      </c>
      <c r="E5" s="243"/>
      <c r="F5" s="244"/>
      <c r="G5" s="53">
        <f>SUM('DOE25'!J198:J201)+SUM('DOE25'!J216:J219)+SUM('DOE25'!J234:J237)</f>
        <v>8612.25</v>
      </c>
      <c r="H5" s="53">
        <f>SUM('DOE25'!K198:K201)+SUM('DOE25'!K216:K219)+SUM('DOE25'!K234:K237)</f>
        <v>3375</v>
      </c>
      <c r="I5" s="254"/>
    </row>
    <row r="6" spans="1:9" x14ac:dyDescent="0.2">
      <c r="A6" s="32">
        <v>2100</v>
      </c>
      <c r="B6" t="s">
        <v>796</v>
      </c>
      <c r="C6" s="273">
        <f t="shared" si="0"/>
        <v>1650021.4200000004</v>
      </c>
      <c r="D6" s="20">
        <f>'DOE25'!L203+'DOE25'!L221+'DOE25'!L239-F6-G6-H6</f>
        <v>1640950.8200000003</v>
      </c>
      <c r="E6" s="243"/>
      <c r="F6" s="244"/>
      <c r="G6" s="53">
        <f>'DOE25'!J203+'DOE25'!J221+'DOE25'!J239</f>
        <v>0</v>
      </c>
      <c r="H6" s="53">
        <f>'DOE25'!K203+'DOE25'!K221+'DOE25'!K239</f>
        <v>9070.6</v>
      </c>
      <c r="I6" s="254"/>
    </row>
    <row r="7" spans="1:9" x14ac:dyDescent="0.2">
      <c r="A7" s="32">
        <v>2200</v>
      </c>
      <c r="B7" t="s">
        <v>821</v>
      </c>
      <c r="C7" s="273">
        <f t="shared" si="0"/>
        <v>825549.56200000003</v>
      </c>
      <c r="D7" s="20">
        <f>'DOE25'!L204+'DOE25'!L222+'DOE25'!L240-F7-G7-H7</f>
        <v>704647.11</v>
      </c>
      <c r="E7" s="243"/>
      <c r="F7" s="244"/>
      <c r="G7" s="53">
        <f>'DOE25'!J204+'DOE25'!J222+'DOE25'!J240</f>
        <v>61283.331999999995</v>
      </c>
      <c r="H7" s="53">
        <f>'DOE25'!K204+'DOE25'!K222+'DOE25'!K240</f>
        <v>59619.12</v>
      </c>
      <c r="I7" s="254"/>
    </row>
    <row r="8" spans="1:9" x14ac:dyDescent="0.2">
      <c r="A8" s="32">
        <v>2300</v>
      </c>
      <c r="B8" t="s">
        <v>797</v>
      </c>
      <c r="C8" s="273">
        <f t="shared" si="0"/>
        <v>740789.4800000001</v>
      </c>
      <c r="D8" s="243"/>
      <c r="E8" s="20">
        <f>'DOE25'!L205+'DOE25'!L223+'DOE25'!L241-F8-G8-H8-D9-D11</f>
        <v>720291.56</v>
      </c>
      <c r="F8" s="244"/>
      <c r="G8" s="53">
        <f>'DOE25'!J205+'DOE25'!J223+'DOE25'!J241</f>
        <v>3864</v>
      </c>
      <c r="H8" s="53">
        <f>'DOE25'!K205+'DOE25'!K223+'DOE25'!K241</f>
        <v>16633.920000000002</v>
      </c>
      <c r="I8" s="254"/>
    </row>
    <row r="9" spans="1:9" ht="14.25" x14ac:dyDescent="0.2">
      <c r="A9" s="32">
        <v>2310</v>
      </c>
      <c r="B9" s="185" t="s">
        <v>888</v>
      </c>
      <c r="C9" s="273">
        <f t="shared" si="0"/>
        <v>0</v>
      </c>
      <c r="D9" s="244"/>
      <c r="E9" s="243"/>
      <c r="F9" s="251"/>
      <c r="G9" s="251"/>
      <c r="H9" s="251"/>
      <c r="I9" s="254"/>
    </row>
    <row r="10" spans="1:9" ht="14.25" x14ac:dyDescent="0.2">
      <c r="A10" s="32">
        <v>2317</v>
      </c>
      <c r="B10" s="185" t="s">
        <v>889</v>
      </c>
      <c r="C10" s="273">
        <f t="shared" si="0"/>
        <v>0</v>
      </c>
      <c r="D10" s="243"/>
      <c r="E10" s="244"/>
      <c r="F10" s="251"/>
      <c r="G10" s="251"/>
      <c r="H10" s="251"/>
      <c r="I10" s="254"/>
    </row>
    <row r="11" spans="1:9" ht="14.25" x14ac:dyDescent="0.2">
      <c r="A11" s="32">
        <v>2321</v>
      </c>
      <c r="B11" s="185" t="s">
        <v>890</v>
      </c>
      <c r="C11" s="273">
        <f t="shared" si="0"/>
        <v>0</v>
      </c>
      <c r="D11" s="244"/>
      <c r="E11" s="243"/>
      <c r="F11" s="251"/>
      <c r="G11" s="251"/>
      <c r="H11" s="251"/>
      <c r="I11" s="254"/>
    </row>
    <row r="12" spans="1:9" x14ac:dyDescent="0.2">
      <c r="A12" s="32">
        <v>2400</v>
      </c>
      <c r="B12" t="s">
        <v>711</v>
      </c>
      <c r="C12" s="273">
        <f t="shared" si="0"/>
        <v>947274.6</v>
      </c>
      <c r="D12" s="20">
        <f>'DOE25'!L206+'DOE25'!L224+'DOE25'!L242-F12-G12-H12</f>
        <v>910981.89</v>
      </c>
      <c r="E12" s="243"/>
      <c r="F12" s="244"/>
      <c r="G12" s="53">
        <f>'DOE25'!J206+'DOE25'!J224+'DOE25'!J242</f>
        <v>29714.21</v>
      </c>
      <c r="H12" s="53">
        <f>'DOE25'!K206+'DOE25'!K224+'DOE25'!K242</f>
        <v>6578.5</v>
      </c>
      <c r="I12" s="254"/>
    </row>
    <row r="13" spans="1:9" x14ac:dyDescent="0.2">
      <c r="A13" s="32">
        <v>2500</v>
      </c>
      <c r="B13" t="s">
        <v>798</v>
      </c>
      <c r="C13" s="273">
        <f t="shared" si="0"/>
        <v>214080.24000000005</v>
      </c>
      <c r="D13" s="243"/>
      <c r="E13" s="20">
        <f>'DOE25'!L207+'DOE25'!L225+'DOE25'!L243-F13-G13-H13</f>
        <v>214080.24000000005</v>
      </c>
      <c r="F13" s="244"/>
      <c r="G13" s="53">
        <f>'DOE25'!J207+'DOE25'!J225+'DOE25'!J243</f>
        <v>0</v>
      </c>
      <c r="H13" s="53">
        <f>'DOE25'!K207+'DOE25'!K225+'DOE25'!K243</f>
        <v>0</v>
      </c>
      <c r="I13" s="254"/>
    </row>
    <row r="14" spans="1:9" x14ac:dyDescent="0.2">
      <c r="A14" s="32">
        <v>2600</v>
      </c>
      <c r="B14" t="s">
        <v>819</v>
      </c>
      <c r="C14" s="273">
        <f t="shared" si="0"/>
        <v>1536669.29</v>
      </c>
      <c r="D14" s="20">
        <f>'DOE25'!L208+'DOE25'!L226+'DOE25'!L244-F14-G14-H14</f>
        <v>1516957.87</v>
      </c>
      <c r="E14" s="243"/>
      <c r="F14" s="244"/>
      <c r="G14" s="53">
        <f>'DOE25'!J208+'DOE25'!J226+'DOE25'!J244</f>
        <v>19711.419999999998</v>
      </c>
      <c r="H14" s="53">
        <f>'DOE25'!K208+'DOE25'!K226+'DOE25'!K244</f>
        <v>0</v>
      </c>
      <c r="I14" s="254"/>
    </row>
    <row r="15" spans="1:9" x14ac:dyDescent="0.2">
      <c r="A15" s="32">
        <v>2700</v>
      </c>
      <c r="B15" t="s">
        <v>799</v>
      </c>
      <c r="C15" s="273">
        <f t="shared" si="0"/>
        <v>1047641</v>
      </c>
      <c r="D15" s="20">
        <f>'DOE25'!L209+'DOE25'!L227+'DOE25'!L245-F15-G15-H15</f>
        <v>1047641</v>
      </c>
      <c r="E15" s="243"/>
      <c r="F15" s="244"/>
      <c r="G15" s="53">
        <f>'DOE25'!J209+'DOE25'!J227+'DOE25'!J245</f>
        <v>0</v>
      </c>
      <c r="H15" s="53">
        <f>'DOE25'!K209+'DOE25'!K227+'DOE25'!K245</f>
        <v>0</v>
      </c>
      <c r="I15" s="254"/>
    </row>
    <row r="16" spans="1:9" x14ac:dyDescent="0.2">
      <c r="A16" s="32">
        <v>2800</v>
      </c>
      <c r="B16" t="s">
        <v>800</v>
      </c>
      <c r="C16" s="273">
        <f t="shared" si="0"/>
        <v>0</v>
      </c>
      <c r="D16" s="243"/>
      <c r="E16" s="20">
        <f>'DOE25'!L210+'DOE25'!L228+'DOE25'!L246-F16-G16-H16</f>
        <v>0</v>
      </c>
      <c r="F16" s="244"/>
      <c r="G16" s="53">
        <f>'DOE25'!J210+'DOE25'!J228+'DOE25'!J246</f>
        <v>0</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86300</v>
      </c>
      <c r="D22" s="243"/>
      <c r="E22" s="243"/>
      <c r="F22" s="243"/>
      <c r="G22" s="53">
        <f>'DOE25'!L256+'DOE25'!L337</f>
        <v>86300</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795555</v>
      </c>
      <c r="D25" s="243"/>
      <c r="E25" s="243"/>
      <c r="F25" s="253"/>
      <c r="G25" s="251"/>
      <c r="H25" s="251"/>
      <c r="I25" s="252">
        <f>'DOE25'!L261+'DOE25'!L262+'DOE25'!L342+'DOE25'!L343</f>
        <v>795555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316518.49</v>
      </c>
      <c r="D29" s="281">
        <f>'DOE25'!L359+'DOE25'!L360+'DOE25'!L361-'DOE25'!I368-F29-G29-H29</f>
        <v>316442.49</v>
      </c>
      <c r="E29" s="243"/>
      <c r="F29" s="244"/>
      <c r="G29" s="53">
        <f>'DOE25'!J359+'DOE25'!J360+'DOE25'!J361</f>
        <v>0</v>
      </c>
      <c r="H29" s="53">
        <f>'DOE25'!K359+'DOE25'!K360+'DOE25'!K361</f>
        <v>76</v>
      </c>
      <c r="I29" s="254"/>
    </row>
    <row r="30" spans="1:9" x14ac:dyDescent="0.2">
      <c r="A30" s="32"/>
      <c r="C30" s="274"/>
      <c r="D30" s="20"/>
      <c r="E30" s="278"/>
      <c r="F30" s="268"/>
      <c r="G30" s="53"/>
      <c r="H30" s="53"/>
      <c r="I30" s="254"/>
    </row>
    <row r="31" spans="1:9" x14ac:dyDescent="0.2">
      <c r="A31" s="32" t="s">
        <v>818</v>
      </c>
      <c r="B31" t="s">
        <v>817</v>
      </c>
      <c r="C31" s="273">
        <f>SUM(D31:I31)</f>
        <v>534113.39199999999</v>
      </c>
      <c r="D31" s="20">
        <f>'DOE25'!L291+'DOE25'!L310+'DOE25'!L329+'DOE25'!L334+'DOE25'!L335+'DOE25'!L336-F31-G31-H31</f>
        <v>530102.21699999995</v>
      </c>
      <c r="E31" s="243"/>
      <c r="F31" s="244"/>
      <c r="G31" s="53">
        <f>'DOE25'!J291+'DOE25'!J310+'DOE25'!J329+'DOE25'!J334+'DOE25'!J335+'DOE25'!J336</f>
        <v>4011.1750000000002</v>
      </c>
      <c r="H31" s="53">
        <f>'DOE25'!K291+'DOE25'!K310+'DOE25'!K329+'DOE25'!K334+'DOE25'!K335+'DOE25'!K336</f>
        <v>0</v>
      </c>
      <c r="I31" s="254"/>
    </row>
    <row r="32" spans="1:9" ht="12" thickBot="1" x14ac:dyDescent="0.25">
      <c r="C32" s="274"/>
      <c r="G32" s="249"/>
      <c r="H32" s="249"/>
      <c r="I32" s="256"/>
    </row>
    <row r="33" spans="1:9" ht="12" thickTop="1" x14ac:dyDescent="0.2">
      <c r="B33" t="s">
        <v>809</v>
      </c>
      <c r="D33" s="245">
        <f t="shared" ref="D33:I33" si="1">SUM(D5:D31)</f>
        <v>23584494.557</v>
      </c>
      <c r="E33" s="245">
        <f t="shared" si="1"/>
        <v>934371.8</v>
      </c>
      <c r="F33" s="245">
        <f t="shared" si="1"/>
        <v>0</v>
      </c>
      <c r="G33" s="245">
        <f t="shared" si="1"/>
        <v>213496.38699999999</v>
      </c>
      <c r="H33" s="245">
        <f t="shared" si="1"/>
        <v>95353.14</v>
      </c>
      <c r="I33" s="245">
        <f t="shared" si="1"/>
        <v>795555</v>
      </c>
    </row>
    <row r="35" spans="1:9" ht="12" thickBot="1" x14ac:dyDescent="0.25">
      <c r="B35" s="249" t="s">
        <v>831</v>
      </c>
      <c r="D35" s="250">
        <f>E33</f>
        <v>934371.8</v>
      </c>
      <c r="E35" s="246"/>
      <c r="F35" s="333" t="s">
        <v>1632</v>
      </c>
      <c r="G35" s="334"/>
      <c r="H35" s="334"/>
      <c r="I35" s="334"/>
    </row>
    <row r="36" spans="1:9" ht="12" thickTop="1" x14ac:dyDescent="0.2">
      <c r="B36" t="s">
        <v>810</v>
      </c>
      <c r="D36" s="20">
        <f>D33</f>
        <v>23584494.557</v>
      </c>
      <c r="F36" s="336" t="s">
        <v>1622</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1" t="s">
        <v>900</v>
      </c>
      <c r="C53" s="371"/>
      <c r="D53" s="371"/>
      <c r="E53" s="371"/>
      <c r="F53" s="371"/>
      <c r="G53" s="371"/>
      <c r="H53" s="371"/>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abSelected="1" topLeftCell="A22" zoomScale="150" zoomScaleNormal="150" workbookViewId="0">
      <selection activeCell="A39" sqref="A39"/>
    </sheetView>
  </sheetViews>
  <sheetFormatPr defaultColWidth="8.6640625" defaultRowHeight="11.25" x14ac:dyDescent="0.2"/>
  <cols>
    <col min="1" max="1" width="35.6640625" customWidth="1"/>
    <col min="2" max="2" width="22.1640625" customWidth="1"/>
    <col min="3" max="3" width="22" customWidth="1"/>
    <col min="4" max="4" width="19.1640625" customWidth="1"/>
    <col min="5" max="5" width="18" customWidth="1"/>
    <col min="6" max="6" width="20.1640625" customWidth="1"/>
    <col min="7" max="7" width="23.6640625" customWidth="1"/>
    <col min="8" max="8" width="19.1640625" customWidth="1"/>
    <col min="9" max="9" width="42.1640625" customWidth="1"/>
    <col min="13" max="13" width="11.6640625" customWidth="1"/>
    <col min="14" max="14" width="19.5" style="32" customWidth="1"/>
    <col min="15" max="15" width="19.5" customWidth="1"/>
    <col min="16" max="16" width="31.66406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SAU #74 Barrington School District</v>
      </c>
      <c r="B2" s="126">
        <f>'DOE25'!B2</f>
        <v>33</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8763005.0499999989</v>
      </c>
      <c r="G4" s="300">
        <f>'DOE25'!L212+'DOE25'!L291</f>
        <v>8763005.0536666662</v>
      </c>
      <c r="H4" s="353">
        <f>F4-G4</f>
        <v>-3.6666672676801682E-3</v>
      </c>
      <c r="I4" s="372" t="str">
        <f>IF(H4=0,"","ISSUES!! Please review page 7 and 11 totals in comparison with total on this page")</f>
        <v>ISSUES!! Please review page 7 and 11 totals in comparison with total on this page</v>
      </c>
      <c r="N4"/>
    </row>
    <row r="5" spans="1:18" x14ac:dyDescent="0.2">
      <c r="A5" s="21" t="s">
        <v>929</v>
      </c>
      <c r="B5" s="301">
        <f>IFERROR(VLOOKUP(A5,'School Tables'!$C$3:$D$365,2,FALSE),"")</f>
        <v>22045</v>
      </c>
      <c r="C5" s="294" t="str">
        <f>IFERROR(INDEX('School Tables'!$B$3:$B$365,MATCH('School Level Expenditures'!B5,'School Tables'!$D$3:$D$365,0)),"")</f>
        <v>Barrington</v>
      </c>
      <c r="D5" s="291">
        <v>8376766.9699999997</v>
      </c>
      <c r="E5" s="291">
        <v>386238.08</v>
      </c>
      <c r="F5" s="304">
        <f>D5+E5</f>
        <v>8763005.0499999989</v>
      </c>
      <c r="G5" s="294"/>
      <c r="H5" s="294"/>
      <c r="I5" s="373"/>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3"/>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8376766.9699999997</v>
      </c>
      <c r="E21" s="351">
        <f>SUM(E5:E20)</f>
        <v>386238.08</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7011872.6399999997</v>
      </c>
      <c r="G24" s="300">
        <f>'DOE25'!L230+'DOE25'!L310</f>
        <v>7011872.6436666679</v>
      </c>
      <c r="H24" s="353">
        <f>F24-G24</f>
        <v>-3.6666681990027428E-3</v>
      </c>
      <c r="I24" s="372" t="str">
        <f>IF(H24=0,"","ISSUES!! Please review page 8 and 12 totals in comparison with total on this page")</f>
        <v>ISSUES!! Please review page 8 and 12 totals in comparison with total on this page</v>
      </c>
      <c r="N24"/>
    </row>
    <row r="25" spans="1:14" x14ac:dyDescent="0.2">
      <c r="A25" s="21" t="s">
        <v>928</v>
      </c>
      <c r="B25" s="301">
        <f>IFERROR(VLOOKUP(A25,'School Tables'!$I$3:$J$80,2,FALSE),"")</f>
        <v>22030</v>
      </c>
      <c r="C25" s="294" t="str">
        <f t="array" ref="C25">IFERROR(INDEX('School Tables'!$H$3:$H$80,MATCH('School Level Expenditures'!B25,'School Tables'!$J$3:$J$80,0)),"")</f>
        <v>Barrington</v>
      </c>
      <c r="D25" s="291">
        <v>6863997.3399999999</v>
      </c>
      <c r="E25" s="291">
        <v>147875.29999999999</v>
      </c>
      <c r="F25" s="304">
        <f>D25+E25</f>
        <v>7011872.6399999997</v>
      </c>
      <c r="G25" s="294"/>
      <c r="H25" s="294"/>
      <c r="I25" s="373"/>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3"/>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6863997.3399999999</v>
      </c>
      <c r="E33" s="351">
        <f>SUM(E25:E32)</f>
        <v>147875.29999999999</v>
      </c>
      <c r="F33" s="303"/>
      <c r="G33" s="303"/>
      <c r="H33" s="303"/>
      <c r="I33" s="126"/>
      <c r="N33"/>
    </row>
    <row r="34" spans="1:14" ht="12.75" thickTop="1" thickBot="1" x14ac:dyDescent="0.25">
      <c r="A34" s="21"/>
      <c r="B34" s="302"/>
      <c r="C34" s="303"/>
      <c r="D34" s="291"/>
      <c r="E34" s="291"/>
      <c r="F34" s="303"/>
      <c r="G34" s="303"/>
      <c r="H34" s="303"/>
      <c r="I34" s="126"/>
      <c r="N34"/>
    </row>
    <row r="35" spans="1:14" ht="23.2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8650019.6999999993</v>
      </c>
      <c r="G36" s="300">
        <f>'DOE25'!L248+'DOE25'!L329</f>
        <v>8650019.6966666672</v>
      </c>
      <c r="H36" s="353">
        <f>F36-G36</f>
        <v>3.3333320170640945E-3</v>
      </c>
      <c r="I36" s="372" t="str">
        <f>IF(H36=0,"","ISSUES!! Please review page 9 and 13 totals in comparison with total on this page")</f>
        <v>ISSUES!! Please review page 9 and 13 totals in comparison with total on this page</v>
      </c>
      <c r="N36"/>
    </row>
    <row r="37" spans="1:14" x14ac:dyDescent="0.2">
      <c r="A37" s="21" t="s">
        <v>1555</v>
      </c>
      <c r="B37" s="301">
        <f>IFERROR(VLOOKUP(A37,'School Tables'!$O$3:$P$118,2,FALSE),"")</f>
        <v>99999</v>
      </c>
      <c r="C37" s="294" t="str">
        <f t="array" ref="C37">IFERROR(INDEX('School Tables'!$N$3:$N$118,MATCH('School Level Expenditures'!B37,'School Tables'!$P$3:$P$118,0)),"")</f>
        <v>Other District Expenditures</v>
      </c>
      <c r="D37" s="291">
        <f>1620822.6+33415+76680</f>
        <v>1730917.6</v>
      </c>
      <c r="E37" s="291"/>
      <c r="F37" s="304">
        <f t="shared" ref="F37:F42" si="2">D37+E37</f>
        <v>1730917.6</v>
      </c>
      <c r="G37" s="294"/>
      <c r="H37" s="294"/>
      <c r="I37" s="373"/>
      <c r="N37"/>
    </row>
    <row r="38" spans="1:14" x14ac:dyDescent="0.2">
      <c r="A38" s="21" t="s">
        <v>1555</v>
      </c>
      <c r="B38" s="301">
        <f>IFERROR(VLOOKUP(A38,'School Tables'!$O$3:$P$118,2,FALSE),"")</f>
        <v>99999</v>
      </c>
      <c r="C38" s="294" t="str">
        <f t="array" ref="C38">IFERROR(INDEX('School Tables'!$N$3:$N$118,MATCH('School Level Expenditures'!B38,'School Tables'!$P$3:$P$118,0)),"")</f>
        <v>Other District Expenditures</v>
      </c>
      <c r="D38" s="291">
        <f>2366611.94+33415+234000</f>
        <v>2634026.94</v>
      </c>
      <c r="E38" s="291"/>
      <c r="F38" s="304">
        <f t="shared" si="2"/>
        <v>2634026.94</v>
      </c>
      <c r="G38" s="294"/>
      <c r="H38" s="294"/>
      <c r="I38" s="373"/>
      <c r="N38"/>
    </row>
    <row r="39" spans="1:14" x14ac:dyDescent="0.2">
      <c r="A39" s="21" t="s">
        <v>1555</v>
      </c>
      <c r="B39" s="301">
        <f>IFERROR(VLOOKUP(A39,'School Tables'!$O$3:$P$118,2,FALSE),"")</f>
        <v>99999</v>
      </c>
      <c r="C39" s="294" t="str">
        <f t="array" ref="C39">IFERROR(INDEX('School Tables'!$N$3:$N$118,MATCH('School Level Expenditures'!B39,'School Tables'!$P$3:$P$118,0)),"")</f>
        <v>Other District Expenditures</v>
      </c>
      <c r="D39" s="291">
        <f>3148918.5+33415</f>
        <v>3182333.5</v>
      </c>
      <c r="E39" s="291"/>
      <c r="F39" s="304">
        <f t="shared" si="2"/>
        <v>3182333.5</v>
      </c>
      <c r="G39" s="294"/>
      <c r="H39" s="294"/>
      <c r="I39" s="126"/>
      <c r="N39"/>
    </row>
    <row r="40" spans="1:14" x14ac:dyDescent="0.2">
      <c r="A40" s="21" t="s">
        <v>1555</v>
      </c>
      <c r="B40" s="301">
        <f>IFERROR(VLOOKUP(A40,'School Tables'!$O$3:$P$118,2,FALSE),"")</f>
        <v>99999</v>
      </c>
      <c r="C40" s="294" t="str">
        <f t="array" ref="C40">IFERROR(INDEX('School Tables'!$N$3:$N$118,MATCH('School Level Expenditures'!B40,'School Tables'!$P$3:$P$118,0)),"")</f>
        <v>Other District Expenditures</v>
      </c>
      <c r="D40" s="291">
        <f>285567.4+370181.35+246929.83+71360.08+128703</f>
        <v>1102741.6599999999</v>
      </c>
      <c r="E40" s="291"/>
      <c r="F40" s="304">
        <f t="shared" si="2"/>
        <v>1102741.6599999999</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8650019.6999999993</v>
      </c>
      <c r="E43" s="352">
        <f>SUM(E37:E42)</f>
        <v>0</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1"/>
      <c r="B58" s="371"/>
      <c r="C58" s="371"/>
      <c r="D58" s="371"/>
      <c r="E58" s="371"/>
      <c r="F58" s="371"/>
      <c r="G58" s="371"/>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94"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125" zoomScaleNormal="125" workbookViewId="0">
      <pane ySplit="2" topLeftCell="A3" activePane="bottomLeft" state="frozen"/>
      <selection activeCell="F46" sqref="F46"/>
      <selection pane="bottomLeft" activeCell="A2" sqref="A2"/>
    </sheetView>
  </sheetViews>
  <sheetFormatPr defaultColWidth="8.6640625" defaultRowHeight="11.25" x14ac:dyDescent="0.2"/>
  <cols>
    <col min="1" max="1" width="52.66406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SAU #74 Barrington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1775079</v>
      </c>
      <c r="D8" s="95">
        <f>'DOE25'!G9</f>
        <v>0</v>
      </c>
      <c r="E8" s="95">
        <f>'DOE25'!H9</f>
        <v>0</v>
      </c>
      <c r="F8" s="95">
        <f>'DOE25'!I9</f>
        <v>0</v>
      </c>
      <c r="G8" s="95">
        <f>'DOE25'!J9</f>
        <v>1641068.17</v>
      </c>
      <c r="H8" s="124"/>
      <c r="I8" s="124"/>
    </row>
    <row r="9" spans="1:9" x14ac:dyDescent="0.2">
      <c r="A9" s="1" t="s">
        <v>140</v>
      </c>
      <c r="B9" s="6">
        <v>110</v>
      </c>
      <c r="C9" s="95">
        <f>'DOE25'!F10</f>
        <v>6964.31</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103498</v>
      </c>
      <c r="D11" s="95">
        <f>'DOE25'!G12</f>
        <v>0</v>
      </c>
      <c r="E11" s="95">
        <f>'DOE25'!H12</f>
        <v>0</v>
      </c>
      <c r="F11" s="95">
        <f>'DOE25'!I12</f>
        <v>0</v>
      </c>
      <c r="G11" s="95">
        <f>'DOE25'!J12</f>
        <v>0</v>
      </c>
      <c r="H11" s="124"/>
      <c r="I11" s="124"/>
    </row>
    <row r="12" spans="1:9" x14ac:dyDescent="0.2">
      <c r="A12" s="1" t="s">
        <v>143</v>
      </c>
      <c r="B12" s="6">
        <v>140</v>
      </c>
      <c r="C12" s="95">
        <f>'DOE25'!F13</f>
        <v>0</v>
      </c>
      <c r="D12" s="95">
        <f>'DOE25'!G13</f>
        <v>29841.84</v>
      </c>
      <c r="E12" s="95">
        <f>'DOE25'!H13</f>
        <v>0</v>
      </c>
      <c r="F12" s="95">
        <f>'DOE25'!I13</f>
        <v>0</v>
      </c>
      <c r="G12" s="95">
        <f>'DOE25'!J13</f>
        <v>0</v>
      </c>
      <c r="H12" s="124"/>
      <c r="I12" s="124"/>
    </row>
    <row r="13" spans="1:9" x14ac:dyDescent="0.2">
      <c r="A13" s="1" t="s">
        <v>144</v>
      </c>
      <c r="B13" s="6">
        <v>150</v>
      </c>
      <c r="C13" s="95">
        <f>'DOE25'!F14</f>
        <v>0</v>
      </c>
      <c r="D13" s="95">
        <f>'DOE25'!G14</f>
        <v>0</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t="str">
        <f>'DOE25'!F17</f>
        <v xml:space="preserve"> </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1885541.31</v>
      </c>
      <c r="D18" s="41">
        <f>SUM(D8:D17)</f>
        <v>29841.84</v>
      </c>
      <c r="E18" s="41">
        <f>SUM(E8:E17)</f>
        <v>0</v>
      </c>
      <c r="F18" s="41">
        <f>SUM(F8:F17)</f>
        <v>0</v>
      </c>
      <c r="G18" s="41">
        <f>SUM(G8:G17)</f>
        <v>1641068.17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28856</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259584</v>
      </c>
      <c r="D23" s="95">
        <f>'DOE25'!G24</f>
        <v>0</v>
      </c>
      <c r="E23" s="95">
        <f>'DOE25'!H24</f>
        <v>0</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8343</v>
      </c>
      <c r="D27" s="95">
        <f>'DOE25'!G28</f>
        <v>0</v>
      </c>
      <c r="E27" s="95">
        <f>'DOE25'!H28</f>
        <v>0</v>
      </c>
      <c r="F27" s="95">
        <f>'DOE25'!I28</f>
        <v>0</v>
      </c>
      <c r="G27" s="24" t="s">
        <v>288</v>
      </c>
      <c r="H27" s="124"/>
      <c r="I27" s="124"/>
    </row>
    <row r="28" spans="1:9" x14ac:dyDescent="0.2">
      <c r="A28" s="1" t="s">
        <v>157</v>
      </c>
      <c r="B28" s="6">
        <v>470</v>
      </c>
      <c r="C28" s="95">
        <f>'DOE25'!F29</f>
        <v>208500</v>
      </c>
      <c r="D28" s="95">
        <f>'DOE25'!G29</f>
        <v>0</v>
      </c>
      <c r="E28" s="95">
        <f>'DOE25'!H29</f>
        <v>0</v>
      </c>
      <c r="F28" s="95">
        <f>'DOE25'!I29</f>
        <v>0</v>
      </c>
      <c r="G28" s="24" t="s">
        <v>288</v>
      </c>
      <c r="H28" s="124"/>
      <c r="I28" s="124"/>
    </row>
    <row r="29" spans="1:9" x14ac:dyDescent="0.2">
      <c r="A29" s="1" t="s">
        <v>158</v>
      </c>
      <c r="B29" s="6">
        <v>480</v>
      </c>
      <c r="C29" s="95">
        <f>'DOE25'!F30</f>
        <v>6964.31</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512247.31</v>
      </c>
      <c r="D31" s="41">
        <f>SUM(D21:D30)</f>
        <v>0</v>
      </c>
      <c r="E31" s="41">
        <f>SUM(E21:E30)</f>
        <v>0</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26035</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29841.84</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250000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479466</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1641068.17</v>
      </c>
      <c r="H48" s="124"/>
      <c r="I48" s="124"/>
    </row>
    <row r="49" spans="1:9" ht="12" thickBot="1" x14ac:dyDescent="0.25">
      <c r="A49" s="29" t="s">
        <v>883</v>
      </c>
      <c r="B49" s="71">
        <v>770</v>
      </c>
      <c r="C49" s="95">
        <f>'DOE25'!F50</f>
        <v>617793</v>
      </c>
      <c r="D49" s="24" t="s">
        <v>288</v>
      </c>
      <c r="E49" s="24" t="s">
        <v>288</v>
      </c>
      <c r="F49" s="24" t="s">
        <v>288</v>
      </c>
      <c r="G49" s="24" t="s">
        <v>288</v>
      </c>
      <c r="H49" s="124"/>
      <c r="I49" s="124"/>
    </row>
    <row r="50" spans="1:9" ht="12.75" thickTop="1" thickBot="1" x14ac:dyDescent="0.25">
      <c r="A50" s="38" t="s">
        <v>884</v>
      </c>
      <c r="B50" s="48"/>
      <c r="C50" s="41">
        <f>SUM(C34:C49)</f>
        <v>1373294</v>
      </c>
      <c r="D50" s="41">
        <f>SUM(D34:D49)</f>
        <v>29841.84</v>
      </c>
      <c r="E50" s="41">
        <f>SUM(E34:E49)</f>
        <v>0</v>
      </c>
      <c r="F50" s="41">
        <f>SUM(F34:F49)</f>
        <v>0</v>
      </c>
      <c r="G50" s="41">
        <f>SUM(G34:G49)</f>
        <v>1641068.17</v>
      </c>
      <c r="H50" s="124"/>
      <c r="I50" s="124"/>
    </row>
    <row r="51" spans="1:9" ht="12" thickTop="1" x14ac:dyDescent="0.2">
      <c r="A51" s="38" t="s">
        <v>885</v>
      </c>
      <c r="B51" s="2"/>
      <c r="C51" s="41">
        <f>C50+C31</f>
        <v>1885541.31</v>
      </c>
      <c r="D51" s="41">
        <f>D50+D31</f>
        <v>29841.84</v>
      </c>
      <c r="E51" s="41">
        <f>E50+E31</f>
        <v>0</v>
      </c>
      <c r="F51" s="41">
        <f>F50+F31</f>
        <v>0</v>
      </c>
      <c r="G51" s="41">
        <f>G50+G31</f>
        <v>1641068.17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17026920</v>
      </c>
      <c r="D56" s="95">
        <f>'DOE25'!G60</f>
        <v>0</v>
      </c>
      <c r="E56" s="95">
        <f>'DOE25'!H60</f>
        <v>0</v>
      </c>
      <c r="F56" s="95">
        <f>'DOE25'!I60</f>
        <v>0</v>
      </c>
      <c r="G56" s="95">
        <f>'DOE25'!J60</f>
        <v>0</v>
      </c>
      <c r="H56"/>
      <c r="I56"/>
    </row>
    <row r="57" spans="1:9" x14ac:dyDescent="0.2">
      <c r="A57" s="1" t="s">
        <v>164</v>
      </c>
      <c r="B57" s="6" t="s">
        <v>165</v>
      </c>
      <c r="C57" s="95">
        <f>'DOE25'!F79</f>
        <v>73226.3</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5491.33</v>
      </c>
      <c r="H59"/>
      <c r="I59"/>
    </row>
    <row r="60" spans="1:9" x14ac:dyDescent="0.2">
      <c r="A60" s="1" t="s">
        <v>170</v>
      </c>
      <c r="B60" s="118" t="s">
        <v>171</v>
      </c>
      <c r="C60" s="24" t="s">
        <v>288</v>
      </c>
      <c r="D60" s="95">
        <f>'DOE25'!G97</f>
        <v>37594.589999999997</v>
      </c>
      <c r="E60" s="24" t="s">
        <v>288</v>
      </c>
      <c r="F60" s="24" t="s">
        <v>288</v>
      </c>
      <c r="G60" s="24" t="s">
        <v>288</v>
      </c>
      <c r="H60"/>
      <c r="I60"/>
    </row>
    <row r="61" spans="1:9" ht="12" thickBot="1" x14ac:dyDescent="0.25">
      <c r="A61" s="1" t="s">
        <v>172</v>
      </c>
      <c r="B61" s="118" t="s">
        <v>173</v>
      </c>
      <c r="C61" s="95">
        <f>SUM('DOE25'!F98:F110)</f>
        <v>125245.42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198471.72</v>
      </c>
      <c r="D62" s="130">
        <f>SUM(D57:D61)</f>
        <v>37594.589999999997</v>
      </c>
      <c r="E62" s="130">
        <f>SUM(E57:E61)</f>
        <v>0</v>
      </c>
      <c r="F62" s="130">
        <f>SUM(F57:F61)</f>
        <v>0</v>
      </c>
      <c r="G62" s="130">
        <f>SUM(G57:G61)</f>
        <v>5491.33</v>
      </c>
      <c r="H62"/>
      <c r="I62"/>
    </row>
    <row r="63" spans="1:9" ht="12" thickTop="1" x14ac:dyDescent="0.2">
      <c r="A63" s="29" t="s">
        <v>175</v>
      </c>
      <c r="B63" s="6"/>
      <c r="C63" s="22">
        <f>C56+C62</f>
        <v>17225391.719999999</v>
      </c>
      <c r="D63" s="22">
        <f>D56+D62</f>
        <v>37594.589999999997</v>
      </c>
      <c r="E63" s="22">
        <f>E56+E62</f>
        <v>0</v>
      </c>
      <c r="F63" s="22">
        <f>F56+F62</f>
        <v>0</v>
      </c>
      <c r="G63" s="22">
        <f>G56+G62</f>
        <v>5491.33</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5042665.4800000004</v>
      </c>
      <c r="D66" s="24" t="s">
        <v>288</v>
      </c>
      <c r="E66" s="24" t="s">
        <v>288</v>
      </c>
      <c r="F66" s="24" t="s">
        <v>288</v>
      </c>
      <c r="G66" s="24" t="s">
        <v>288</v>
      </c>
      <c r="H66"/>
      <c r="I66"/>
    </row>
    <row r="67" spans="1:9" x14ac:dyDescent="0.2">
      <c r="A67" s="1" t="s">
        <v>770</v>
      </c>
      <c r="B67" s="6">
        <v>3112</v>
      </c>
      <c r="C67" s="95">
        <f>'DOE25'!F118</f>
        <v>2151705.9900000002</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14104.94</v>
      </c>
      <c r="D69" s="95">
        <f>'DOE25'!G120</f>
        <v>0</v>
      </c>
      <c r="E69" s="95">
        <f>'DOE25'!H120</f>
        <v>0</v>
      </c>
      <c r="F69" s="95">
        <f>'DOE25'!I120</f>
        <v>0</v>
      </c>
      <c r="G69" s="95">
        <f>'DOE25'!J120</f>
        <v>0</v>
      </c>
      <c r="H69"/>
      <c r="I69"/>
    </row>
    <row r="70" spans="1:9" ht="12" thickTop="1" x14ac:dyDescent="0.2">
      <c r="A70" s="29" t="s">
        <v>252</v>
      </c>
      <c r="B70" s="2"/>
      <c r="C70" s="139">
        <f>SUM(C66:C69)</f>
        <v>7208476.4100000011</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231529.28</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127187.98</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4510.49</v>
      </c>
      <c r="E77" s="95">
        <f>SUM('DOE25'!H131:H135)</f>
        <v>0</v>
      </c>
      <c r="F77" s="95">
        <f>SUM('DOE25'!I131:I135)</f>
        <v>0</v>
      </c>
      <c r="G77" s="95">
        <f>SUM('DOE25'!J131:J135)</f>
        <v>0</v>
      </c>
      <c r="H77"/>
      <c r="I77"/>
    </row>
    <row r="78" spans="1:9" ht="12.75" thickTop="1" thickBot="1" x14ac:dyDescent="0.25">
      <c r="A78" s="29" t="s">
        <v>259</v>
      </c>
      <c r="B78" s="6"/>
      <c r="C78" s="130">
        <f>SUM(C72:C77)</f>
        <v>358717.26</v>
      </c>
      <c r="D78" s="130">
        <f>SUM(D72:D77)</f>
        <v>4510.49</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7567193.6700000009</v>
      </c>
      <c r="D81" s="130">
        <f>SUM(D79:D80)+D78+D70</f>
        <v>4510.49</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70132.990000000005</v>
      </c>
      <c r="D88" s="331">
        <f>SUM('DOE25'!G153:G162)</f>
        <v>304255.25</v>
      </c>
      <c r="E88" s="331">
        <f>SUM('DOE25'!H153:H162)</f>
        <v>542313.39</v>
      </c>
      <c r="F88" s="331">
        <f>SUM('DOE25'!I153:I162)</f>
        <v>316629.68</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70132.990000000005</v>
      </c>
      <c r="D91" s="131">
        <f>SUM(D85:D90)</f>
        <v>304255.25</v>
      </c>
      <c r="E91" s="131">
        <f>SUM(E85:E90)</f>
        <v>542313.39</v>
      </c>
      <c r="F91" s="131">
        <f>SUM(F85:F90)</f>
        <v>316629.68</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350000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273180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273180</v>
      </c>
      <c r="D103" s="86">
        <f>SUM(D93:D102)</f>
        <v>0</v>
      </c>
      <c r="E103" s="86">
        <f>SUM(E93:E102)</f>
        <v>0</v>
      </c>
      <c r="F103" s="86">
        <f>SUM(F93:F102)</f>
        <v>0</v>
      </c>
      <c r="G103" s="86">
        <f>SUM(G93:G102)</f>
        <v>350000</v>
      </c>
    </row>
    <row r="104" spans="1:7" ht="12.75" thickTop="1" thickBot="1" x14ac:dyDescent="0.25">
      <c r="A104" s="33" t="s">
        <v>761</v>
      </c>
      <c r="C104" s="86">
        <f>C63+C81+C91+C103</f>
        <v>25135898.379999999</v>
      </c>
      <c r="D104" s="86">
        <f>D63+D81+D91+D103</f>
        <v>346360.33</v>
      </c>
      <c r="E104" s="86">
        <f>E63+E81+E91+E103</f>
        <v>542313.39</v>
      </c>
      <c r="F104" s="86">
        <f>F63+F81+F91+F103</f>
        <v>316629.68</v>
      </c>
      <c r="G104" s="86">
        <f>G63+G81+G103</f>
        <v>355491.33</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13647808.810000001</v>
      </c>
      <c r="D109" s="24" t="s">
        <v>288</v>
      </c>
      <c r="E109" s="95">
        <f>('DOE25'!L277)+('DOE25'!L296)+('DOE25'!L315)</f>
        <v>205260.27499999999</v>
      </c>
      <c r="F109" s="24" t="s">
        <v>288</v>
      </c>
      <c r="G109" s="24" t="s">
        <v>288</v>
      </c>
    </row>
    <row r="110" spans="1:7" x14ac:dyDescent="0.2">
      <c r="A110" t="s">
        <v>198</v>
      </c>
      <c r="B110" s="32" t="s">
        <v>199</v>
      </c>
      <c r="C110" s="95">
        <f>('DOE25'!L199)+('DOE25'!L217)+('DOE25'!L235)</f>
        <v>3225571.54</v>
      </c>
      <c r="D110" s="24" t="s">
        <v>288</v>
      </c>
      <c r="E110" s="95">
        <f>('DOE25'!L278)+('DOE25'!L297)+('DOE25'!L316)</f>
        <v>264412.01699999999</v>
      </c>
      <c r="F110" s="24" t="s">
        <v>288</v>
      </c>
      <c r="G110" s="24" t="s">
        <v>288</v>
      </c>
    </row>
    <row r="111" spans="1:7" x14ac:dyDescent="0.2">
      <c r="A111" t="s">
        <v>200</v>
      </c>
      <c r="B111" s="32" t="s">
        <v>165</v>
      </c>
      <c r="C111" s="95">
        <f>('DOE25'!L200)+('DOE25'!L218)+('DOE25'!L236)</f>
        <v>1550</v>
      </c>
      <c r="D111" s="24" t="s">
        <v>288</v>
      </c>
      <c r="E111" s="95">
        <f>('DOE25'!L279)+('DOE25'!L298)+('DOE25'!L317)</f>
        <v>0</v>
      </c>
      <c r="F111" s="24" t="s">
        <v>288</v>
      </c>
      <c r="G111" s="24" t="s">
        <v>288</v>
      </c>
    </row>
    <row r="112" spans="1:7" x14ac:dyDescent="0.2">
      <c r="A112" t="s">
        <v>201</v>
      </c>
      <c r="B112" s="32" t="s">
        <v>167</v>
      </c>
      <c r="C112" s="95">
        <f>('DOE25'!L201)+('DOE25'!L219)+('DOE25'!L237)</f>
        <v>53828.06</v>
      </c>
      <c r="D112" s="24" t="s">
        <v>288</v>
      </c>
      <c r="E112" s="95">
        <f>+('DOE25'!L280)+('DOE25'!L299)+('DOE25'!L318)</f>
        <v>0</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16928758.41</v>
      </c>
      <c r="D115" s="86">
        <f>SUM(D109:D114)</f>
        <v>0</v>
      </c>
      <c r="E115" s="86">
        <f>SUM(E109:E114)</f>
        <v>469672.29200000002</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1650021.4200000004</v>
      </c>
      <c r="D118" s="24" t="s">
        <v>288</v>
      </c>
      <c r="E118" s="95">
        <f>+('DOE25'!L282)+('DOE25'!L301)+('DOE25'!L320)</f>
        <v>42380.73</v>
      </c>
      <c r="F118" s="24" t="s">
        <v>288</v>
      </c>
      <c r="G118" s="24" t="s">
        <v>288</v>
      </c>
    </row>
    <row r="119" spans="1:7" x14ac:dyDescent="0.2">
      <c r="A119" t="s">
        <v>208</v>
      </c>
      <c r="B119" s="32" t="s">
        <v>209</v>
      </c>
      <c r="C119" s="95">
        <f>('DOE25'!L204)+('DOE25'!L222)+('DOE25'!L240)</f>
        <v>825549.56199999992</v>
      </c>
      <c r="D119" s="24" t="s">
        <v>288</v>
      </c>
      <c r="E119" s="95">
        <f>+('DOE25'!L283)+('DOE25'!L302)+('DOE25'!L321)</f>
        <v>11833.289999999999</v>
      </c>
      <c r="F119" s="24" t="s">
        <v>288</v>
      </c>
      <c r="G119" s="24" t="s">
        <v>288</v>
      </c>
    </row>
    <row r="120" spans="1:7" x14ac:dyDescent="0.2">
      <c r="A120" t="s">
        <v>210</v>
      </c>
      <c r="B120" s="32" t="s">
        <v>211</v>
      </c>
      <c r="C120" s="95">
        <f>('DOE25'!L205)+('DOE25'!L223)+('DOE25'!L241)</f>
        <v>740789.4800000001</v>
      </c>
      <c r="D120" s="24" t="s">
        <v>288</v>
      </c>
      <c r="E120" s="95">
        <f>+('DOE25'!L284)+('DOE25'!L303)+('DOE25'!L322)</f>
        <v>0</v>
      </c>
      <c r="F120" s="24" t="s">
        <v>288</v>
      </c>
      <c r="G120" s="24" t="s">
        <v>288</v>
      </c>
    </row>
    <row r="121" spans="1:7" x14ac:dyDescent="0.2">
      <c r="A121" t="s">
        <v>212</v>
      </c>
      <c r="B121" s="32" t="s">
        <v>213</v>
      </c>
      <c r="C121" s="95">
        <f>('DOE25'!L206)+('DOE25'!L224)+('DOE25'!L242)</f>
        <v>947274.6</v>
      </c>
      <c r="D121" s="24" t="s">
        <v>288</v>
      </c>
      <c r="E121" s="95">
        <f>+('DOE25'!L285)+('DOE25'!L304)+('DOE25'!L323)</f>
        <v>0</v>
      </c>
      <c r="F121" s="24" t="s">
        <v>288</v>
      </c>
      <c r="G121" s="24" t="s">
        <v>288</v>
      </c>
    </row>
    <row r="122" spans="1:7" x14ac:dyDescent="0.2">
      <c r="A122" t="s">
        <v>214</v>
      </c>
      <c r="B122" s="32" t="s">
        <v>215</v>
      </c>
      <c r="C122" s="95">
        <f>('DOE25'!L207)+('DOE25'!L225)+('DOE25'!L243)</f>
        <v>214080.24000000005</v>
      </c>
      <c r="D122" s="24" t="s">
        <v>288</v>
      </c>
      <c r="E122" s="95">
        <f>+('DOE25'!L286)+('DOE25'!L305)+('DOE25'!L324)</f>
        <v>0</v>
      </c>
      <c r="F122" s="24" t="s">
        <v>288</v>
      </c>
      <c r="G122" s="24" t="s">
        <v>288</v>
      </c>
    </row>
    <row r="123" spans="1:7" x14ac:dyDescent="0.2">
      <c r="A123" t="s">
        <v>216</v>
      </c>
      <c r="B123" s="32" t="s">
        <v>217</v>
      </c>
      <c r="C123" s="95">
        <f>('DOE25'!L208)+('DOE25'!L226)+('DOE25'!L244)</f>
        <v>1536669.29</v>
      </c>
      <c r="D123" s="24" t="s">
        <v>288</v>
      </c>
      <c r="E123" s="95">
        <f>+('DOE25'!L287)+('DOE25'!L306)+('DOE25'!L325)</f>
        <v>10227.08</v>
      </c>
      <c r="F123" s="24" t="s">
        <v>288</v>
      </c>
      <c r="G123" s="24" t="s">
        <v>288</v>
      </c>
    </row>
    <row r="124" spans="1:7" x14ac:dyDescent="0.2">
      <c r="A124" t="s">
        <v>218</v>
      </c>
      <c r="B124" s="32" t="s">
        <v>219</v>
      </c>
      <c r="C124" s="95">
        <f>('DOE25'!L209)+('DOE25'!L227)+('DOE25'!L245+'DOE25'!L255)</f>
        <v>1047641</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316518.49</v>
      </c>
      <c r="E127" s="24" t="s">
        <v>288</v>
      </c>
      <c r="F127" s="24" t="s">
        <v>288</v>
      </c>
      <c r="G127" s="24" t="s">
        <v>288</v>
      </c>
    </row>
    <row r="128" spans="1:7" ht="12.75" thickTop="1" thickBot="1" x14ac:dyDescent="0.25">
      <c r="A128" s="33" t="s">
        <v>226</v>
      </c>
      <c r="C128" s="86">
        <f>SUM(C118:C127)</f>
        <v>6962025.5920000002</v>
      </c>
      <c r="D128" s="86">
        <f>SUM(D118:D127)</f>
        <v>316518.49</v>
      </c>
      <c r="E128" s="86">
        <f>SUM(E118:E127)</f>
        <v>64441.100000000006</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78100</v>
      </c>
      <c r="D130" s="24" t="s">
        <v>288</v>
      </c>
      <c r="E130" s="129">
        <f>'DOE25'!L337</f>
        <v>8200</v>
      </c>
      <c r="F130" s="129">
        <f>SUM('DOE25'!L375:'DOE25'!L381)</f>
        <v>316629.68</v>
      </c>
      <c r="G130" s="24" t="s">
        <v>288</v>
      </c>
    </row>
    <row r="131" spans="1:7" x14ac:dyDescent="0.2">
      <c r="A131" t="s">
        <v>229</v>
      </c>
      <c r="B131" s="32">
        <v>5110</v>
      </c>
      <c r="C131" s="95">
        <f>'DOE25'!L261</f>
        <v>710000</v>
      </c>
      <c r="D131" s="24" t="s">
        <v>288</v>
      </c>
      <c r="E131" s="129">
        <f>'DOE25'!L342</f>
        <v>0</v>
      </c>
      <c r="F131" s="24" t="s">
        <v>288</v>
      </c>
      <c r="G131" s="24" t="s">
        <v>288</v>
      </c>
    </row>
    <row r="132" spans="1:7" x14ac:dyDescent="0.2">
      <c r="A132" t="s">
        <v>230</v>
      </c>
      <c r="B132" s="32">
        <v>5120</v>
      </c>
      <c r="C132" s="95">
        <f>'DOE25'!L262</f>
        <v>85555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151165.10999999999</v>
      </c>
      <c r="D138" s="24" t="s">
        <v>288</v>
      </c>
      <c r="E138" s="24" t="s">
        <v>288</v>
      </c>
      <c r="F138" s="24" t="s">
        <v>288</v>
      </c>
      <c r="G138" s="24" t="s">
        <v>288</v>
      </c>
    </row>
    <row r="139" spans="1:7" x14ac:dyDescent="0.2">
      <c r="A139" t="s">
        <v>239</v>
      </c>
      <c r="B139" s="32">
        <v>5252</v>
      </c>
      <c r="C139" s="95">
        <f>'DOE25'!L402</f>
        <v>204326.22</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-5491.3299999999581</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1223655</v>
      </c>
      <c r="D144" s="141">
        <f>SUM(D130:D143)</f>
        <v>0</v>
      </c>
      <c r="E144" s="141">
        <f>SUM(E130:E143)</f>
        <v>8200</v>
      </c>
      <c r="F144" s="141">
        <f>SUM(F130:F143)</f>
        <v>316629.68</v>
      </c>
      <c r="G144" s="141">
        <f>SUM(G130:G143)</f>
        <v>0</v>
      </c>
    </row>
    <row r="145" spans="1:9" ht="12.75" thickTop="1" thickBot="1" x14ac:dyDescent="0.25">
      <c r="A145" s="33" t="s">
        <v>244</v>
      </c>
      <c r="C145" s="86">
        <f>(C115+C128+C144)</f>
        <v>25114439.002</v>
      </c>
      <c r="D145" s="86">
        <f>(D115+D128+D144)</f>
        <v>316518.49</v>
      </c>
      <c r="E145" s="86">
        <f>(E115+E128+E144)</f>
        <v>542313.39199999999</v>
      </c>
      <c r="F145" s="86">
        <f>(F115+F128+F144)</f>
        <v>316629.68</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0</v>
      </c>
      <c r="D151" s="153">
        <f>'DOE25'!H491</f>
        <v>0</v>
      </c>
      <c r="E151" s="153">
        <f>'DOE25'!I491</f>
        <v>0</v>
      </c>
      <c r="F151" s="153">
        <f>'DOE25'!J491</f>
        <v>0</v>
      </c>
      <c r="G151" s="24" t="s">
        <v>288</v>
      </c>
    </row>
    <row r="152" spans="1:9" x14ac:dyDescent="0.2">
      <c r="A152" s="136" t="s">
        <v>28</v>
      </c>
      <c r="B152" s="152" t="str">
        <f>'DOE25'!F492</f>
        <v>12/02</v>
      </c>
      <c r="C152" s="152">
        <f>'DOE25'!G492</f>
        <v>0</v>
      </c>
      <c r="D152" s="152">
        <f>'DOE25'!H492</f>
        <v>0</v>
      </c>
      <c r="E152" s="152">
        <f>'DOE25'!I492</f>
        <v>0</v>
      </c>
      <c r="F152" s="152">
        <f>'DOE25'!J492</f>
        <v>0</v>
      </c>
      <c r="G152" s="24" t="s">
        <v>288</v>
      </c>
    </row>
    <row r="153" spans="1:9" x14ac:dyDescent="0.2">
      <c r="A153" s="136" t="s">
        <v>29</v>
      </c>
      <c r="B153" s="152" t="str">
        <f>'DOE25'!F493</f>
        <v>10/22</v>
      </c>
      <c r="C153" s="152">
        <f>'DOE25'!G493</f>
        <v>0</v>
      </c>
      <c r="D153" s="152">
        <f>'DOE25'!H493</f>
        <v>0</v>
      </c>
      <c r="E153" s="152">
        <f>'DOE25'!I493</f>
        <v>0</v>
      </c>
      <c r="F153" s="152">
        <f>'DOE25'!J493</f>
        <v>0</v>
      </c>
      <c r="G153" s="24" t="s">
        <v>288</v>
      </c>
    </row>
    <row r="154" spans="1:9" x14ac:dyDescent="0.2">
      <c r="A154" s="136" t="s">
        <v>30</v>
      </c>
      <c r="B154" s="137">
        <f>'DOE25'!F494</f>
        <v>14144129</v>
      </c>
      <c r="C154" s="137">
        <f>'DOE25'!G494</f>
        <v>0</v>
      </c>
      <c r="D154" s="137">
        <f>'DOE25'!H494</f>
        <v>0</v>
      </c>
      <c r="E154" s="137">
        <f>'DOE25'!I494</f>
        <v>0</v>
      </c>
      <c r="F154" s="137">
        <f>'DOE25'!J494</f>
        <v>0</v>
      </c>
      <c r="G154" s="24" t="s">
        <v>288</v>
      </c>
    </row>
    <row r="155" spans="1:9" x14ac:dyDescent="0.2">
      <c r="A155" s="136" t="s">
        <v>31</v>
      </c>
      <c r="B155" s="137">
        <f>'DOE25'!F495</f>
        <v>3.7</v>
      </c>
      <c r="C155" s="137">
        <f>'DOE25'!G495</f>
        <v>0</v>
      </c>
      <c r="D155" s="137">
        <f>'DOE25'!H495</f>
        <v>0</v>
      </c>
      <c r="E155" s="137">
        <f>'DOE25'!I495</f>
        <v>0</v>
      </c>
      <c r="F155" s="137">
        <f>'DOE25'!J495</f>
        <v>0</v>
      </c>
      <c r="G155" s="24" t="s">
        <v>288</v>
      </c>
    </row>
    <row r="156" spans="1:9" x14ac:dyDescent="0.2">
      <c r="A156" s="22" t="s">
        <v>32</v>
      </c>
      <c r="B156" s="137">
        <f>'DOE25'!F496</f>
        <v>1420000</v>
      </c>
      <c r="C156" s="137">
        <f>'DOE25'!G496</f>
        <v>0</v>
      </c>
      <c r="D156" s="137">
        <f>'DOE25'!H496</f>
        <v>0</v>
      </c>
      <c r="E156" s="137">
        <f>'DOE25'!I496</f>
        <v>0</v>
      </c>
      <c r="F156" s="137">
        <f>'DOE25'!J496</f>
        <v>0</v>
      </c>
      <c r="G156" s="138">
        <f>SUM(B156:F156)</f>
        <v>1420000</v>
      </c>
    </row>
    <row r="157" spans="1:9" x14ac:dyDescent="0.2">
      <c r="A157" s="22" t="s">
        <v>33</v>
      </c>
      <c r="B157" s="137" t="str">
        <f>'DOE25'!F497</f>
        <v xml:space="preserve"> </v>
      </c>
      <c r="C157" s="137">
        <f>'DOE25'!G497</f>
        <v>0</v>
      </c>
      <c r="D157" s="137">
        <f>'DOE25'!H497</f>
        <v>0</v>
      </c>
      <c r="E157" s="137">
        <f>'DOE25'!I497</f>
        <v>0</v>
      </c>
      <c r="F157" s="137">
        <f>'DOE25'!J497</f>
        <v>0</v>
      </c>
      <c r="G157" s="138">
        <f t="shared" ref="G157:G164" si="0">SUM(B157:F157)</f>
        <v>0</v>
      </c>
    </row>
    <row r="158" spans="1:9" x14ac:dyDescent="0.2">
      <c r="A158" s="22" t="s">
        <v>34</v>
      </c>
      <c r="B158" s="137">
        <f>'DOE25'!F498</f>
        <v>710000</v>
      </c>
      <c r="C158" s="137">
        <f>'DOE25'!G498</f>
        <v>0</v>
      </c>
      <c r="D158" s="137">
        <f>'DOE25'!H498</f>
        <v>0</v>
      </c>
      <c r="E158" s="137">
        <f>'DOE25'!I498</f>
        <v>0</v>
      </c>
      <c r="F158" s="137">
        <f>'DOE25'!J498</f>
        <v>0</v>
      </c>
      <c r="G158" s="138">
        <f t="shared" si="0"/>
        <v>710000</v>
      </c>
    </row>
    <row r="159" spans="1:9" x14ac:dyDescent="0.2">
      <c r="A159" s="22" t="s">
        <v>35</v>
      </c>
      <c r="B159" s="137">
        <f>'DOE25'!F499</f>
        <v>710000</v>
      </c>
      <c r="C159" s="137">
        <f>'DOE25'!G499</f>
        <v>0</v>
      </c>
      <c r="D159" s="137">
        <f>'DOE25'!H499</f>
        <v>0</v>
      </c>
      <c r="E159" s="137">
        <f>'DOE25'!I499</f>
        <v>0</v>
      </c>
      <c r="F159" s="137">
        <f>'DOE25'!J499</f>
        <v>0</v>
      </c>
      <c r="G159" s="138">
        <f t="shared" si="0"/>
        <v>710000</v>
      </c>
    </row>
    <row r="160" spans="1:9" x14ac:dyDescent="0.2">
      <c r="A160" s="22" t="s">
        <v>36</v>
      </c>
      <c r="B160" s="137">
        <f>'DOE25'!F500</f>
        <v>69224</v>
      </c>
      <c r="C160" s="137">
        <f>'DOE25'!G500</f>
        <v>0</v>
      </c>
      <c r="D160" s="137">
        <f>'DOE25'!H500</f>
        <v>0</v>
      </c>
      <c r="E160" s="137">
        <f>'DOE25'!I500</f>
        <v>0</v>
      </c>
      <c r="F160" s="137">
        <f>'DOE25'!J500</f>
        <v>0</v>
      </c>
      <c r="G160" s="138">
        <f t="shared" si="0"/>
        <v>69224</v>
      </c>
    </row>
    <row r="161" spans="1:7" x14ac:dyDescent="0.2">
      <c r="A161" s="22" t="s">
        <v>37</v>
      </c>
      <c r="B161" s="137">
        <f>'DOE25'!F501</f>
        <v>779224</v>
      </c>
      <c r="C161" s="137">
        <f>'DOE25'!G501</f>
        <v>0</v>
      </c>
      <c r="D161" s="137">
        <f>'DOE25'!H501</f>
        <v>0</v>
      </c>
      <c r="E161" s="137">
        <f>'DOE25'!I501</f>
        <v>0</v>
      </c>
      <c r="F161" s="137">
        <f>'DOE25'!J501</f>
        <v>0</v>
      </c>
      <c r="G161" s="138">
        <f t="shared" si="0"/>
        <v>779224</v>
      </c>
    </row>
    <row r="162" spans="1:7" x14ac:dyDescent="0.2">
      <c r="A162" s="22" t="s">
        <v>38</v>
      </c>
      <c r="B162" s="137">
        <f>'DOE25'!F502</f>
        <v>710000</v>
      </c>
      <c r="C162" s="137">
        <f>'DOE25'!G502</f>
        <v>0</v>
      </c>
      <c r="D162" s="137">
        <f>'DOE25'!H502</f>
        <v>0</v>
      </c>
      <c r="E162" s="137">
        <f>'DOE25'!I502</f>
        <v>0</v>
      </c>
      <c r="F162" s="137">
        <f>'DOE25'!J502</f>
        <v>0</v>
      </c>
      <c r="G162" s="138">
        <f t="shared" si="0"/>
        <v>710000</v>
      </c>
    </row>
    <row r="163" spans="1:7" x14ac:dyDescent="0.2">
      <c r="A163" s="22" t="s">
        <v>39</v>
      </c>
      <c r="B163" s="137">
        <f>'DOE25'!F503</f>
        <v>51830</v>
      </c>
      <c r="C163" s="137">
        <f>'DOE25'!G503</f>
        <v>0</v>
      </c>
      <c r="D163" s="137">
        <f>'DOE25'!H503</f>
        <v>0</v>
      </c>
      <c r="E163" s="137">
        <f>'DOE25'!I503</f>
        <v>0</v>
      </c>
      <c r="F163" s="137">
        <f>'DOE25'!J503</f>
        <v>0</v>
      </c>
      <c r="G163" s="138">
        <f t="shared" si="0"/>
        <v>51830</v>
      </c>
    </row>
    <row r="164" spans="1:7" x14ac:dyDescent="0.2">
      <c r="A164" s="22" t="s">
        <v>246</v>
      </c>
      <c r="B164" s="137">
        <f>'DOE25'!F504</f>
        <v>761830</v>
      </c>
      <c r="C164" s="137">
        <f>'DOE25'!G504</f>
        <v>0</v>
      </c>
      <c r="D164" s="137">
        <f>'DOE25'!H504</f>
        <v>0</v>
      </c>
      <c r="E164" s="137">
        <f>'DOE25'!I504</f>
        <v>0</v>
      </c>
      <c r="F164" s="137">
        <f>'DOE25'!J504</f>
        <v>0</v>
      </c>
      <c r="G164" s="138">
        <f t="shared" si="0"/>
        <v>761830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zoomScale="125" zoomScaleNormal="125" workbookViewId="0">
      <selection activeCell="B2" sqref="B2"/>
    </sheetView>
  </sheetViews>
  <sheetFormatPr defaultColWidth="8.6640625" defaultRowHeight="11.25" x14ac:dyDescent="0.2"/>
  <cols>
    <col min="1" max="1" width="14.1640625" customWidth="1"/>
    <col min="2" max="2" width="49" bestFit="1" customWidth="1"/>
    <col min="3" max="3" width="13.5" customWidth="1"/>
    <col min="4" max="4" width="10.1640625" customWidth="1"/>
  </cols>
  <sheetData>
    <row r="1" spans="1:4" ht="18" x14ac:dyDescent="0.25">
      <c r="A1" s="374" t="s">
        <v>736</v>
      </c>
      <c r="B1" s="374"/>
      <c r="C1" s="374"/>
      <c r="D1" s="374"/>
    </row>
    <row r="2" spans="1:4" x14ac:dyDescent="0.2">
      <c r="A2" s="187" t="s">
        <v>713</v>
      </c>
      <c r="B2" s="186" t="str">
        <f>'DOE25'!A2</f>
        <v>SAU #74 Barrington School District</v>
      </c>
    </row>
    <row r="3" spans="1:4" x14ac:dyDescent="0.2">
      <c r="B3" s="188" t="s">
        <v>1666</v>
      </c>
    </row>
    <row r="4" spans="1:4" x14ac:dyDescent="0.2">
      <c r="B4" t="s">
        <v>61</v>
      </c>
      <c r="C4" s="179">
        <f>IF('DOE25'!F666+'DOE25'!F671=0,0,ROUND('DOE25'!F673,0))</f>
        <v>16774</v>
      </c>
    </row>
    <row r="5" spans="1:4" x14ac:dyDescent="0.2">
      <c r="B5" t="s">
        <v>700</v>
      </c>
      <c r="C5" s="179">
        <f>IF('DOE25'!G666+'DOE25'!G671=0,0,ROUND('DOE25'!G673,0))</f>
        <v>17029</v>
      </c>
    </row>
    <row r="6" spans="1:4" x14ac:dyDescent="0.2">
      <c r="B6" t="s">
        <v>62</v>
      </c>
      <c r="C6" s="179">
        <f>IF('DOE25'!H666+'DOE25'!H671=0,0,ROUND('DOE25'!H673,0))</f>
        <v>0</v>
      </c>
    </row>
    <row r="7" spans="1:4" x14ac:dyDescent="0.2">
      <c r="B7" t="s">
        <v>701</v>
      </c>
      <c r="C7" s="179">
        <f>IF('DOE25'!I666+'DOE25'!I671=0,0,ROUND('DOE25'!I673,0))</f>
        <v>16886</v>
      </c>
    </row>
    <row r="9" spans="1:4" x14ac:dyDescent="0.2">
      <c r="A9" s="187" t="s">
        <v>94</v>
      </c>
      <c r="B9" s="188" t="s">
        <v>1671</v>
      </c>
      <c r="C9" s="181" t="s">
        <v>720</v>
      </c>
      <c r="D9" s="181" t="s">
        <v>721</v>
      </c>
    </row>
    <row r="10" spans="1:4" x14ac:dyDescent="0.2">
      <c r="A10">
        <v>1100</v>
      </c>
      <c r="B10" t="s">
        <v>702</v>
      </c>
      <c r="C10" s="179">
        <f>ROUND('DOE25'!L198+'DOE25'!L216+'DOE25'!L234+'DOE25'!L277+'DOE25'!L296+'DOE25'!L315,0)</f>
        <v>13853069</v>
      </c>
      <c r="D10" s="182">
        <f>ROUND((C10/$C$28)*100,1)</f>
        <v>55.9</v>
      </c>
    </row>
    <row r="11" spans="1:4" x14ac:dyDescent="0.2">
      <c r="A11">
        <v>1200</v>
      </c>
      <c r="B11" t="s">
        <v>703</v>
      </c>
      <c r="C11" s="179">
        <f>ROUND('DOE25'!L199+'DOE25'!L217+'DOE25'!L235+'DOE25'!L278+'DOE25'!L297+'DOE25'!L316,0)</f>
        <v>3489984</v>
      </c>
      <c r="D11" s="182">
        <f>ROUND((C11/$C$28)*100,1)</f>
        <v>14.1</v>
      </c>
    </row>
    <row r="12" spans="1:4" x14ac:dyDescent="0.2">
      <c r="A12">
        <v>1300</v>
      </c>
      <c r="B12" t="s">
        <v>704</v>
      </c>
      <c r="C12" s="179">
        <f>ROUND('DOE25'!L200+'DOE25'!L218+'DOE25'!L236+'DOE25'!L279+'DOE25'!L298+'DOE25'!L317,0)</f>
        <v>1550</v>
      </c>
      <c r="D12" s="182">
        <f>ROUND((C12/$C$28)*100,1)</f>
        <v>0</v>
      </c>
    </row>
    <row r="13" spans="1:4" x14ac:dyDescent="0.2">
      <c r="A13">
        <v>1400</v>
      </c>
      <c r="B13" t="s">
        <v>705</v>
      </c>
      <c r="C13" s="179">
        <f>ROUND('DOE25'!L201+'DOE25'!L219+'DOE25'!L237+'DOE25'!L280+'DOE25'!L299+'DOE25'!L318,0)</f>
        <v>53828</v>
      </c>
      <c r="D13" s="182">
        <f>ROUND((C13/$C$28)*100,1)</f>
        <v>0.2</v>
      </c>
    </row>
    <row r="14" spans="1:4" x14ac:dyDescent="0.2">
      <c r="D14" s="182"/>
    </row>
    <row r="15" spans="1:4" x14ac:dyDescent="0.2">
      <c r="A15">
        <v>2100</v>
      </c>
      <c r="B15" t="s">
        <v>706</v>
      </c>
      <c r="C15" s="179">
        <f>ROUND('DOE25'!L203+'DOE25'!L221+'DOE25'!L239+'DOE25'!L282+'DOE25'!L301+'DOE25'!L320,0)</f>
        <v>1692402</v>
      </c>
      <c r="D15" s="182">
        <f t="shared" ref="D15:D27" si="0">ROUND((C15/$C$28)*100,1)</f>
        <v>6.8</v>
      </c>
    </row>
    <row r="16" spans="1:4" x14ac:dyDescent="0.2">
      <c r="A16">
        <v>2200</v>
      </c>
      <c r="B16" t="s">
        <v>707</v>
      </c>
      <c r="C16" s="179">
        <f>ROUND('DOE25'!L204+'DOE25'!L222+'DOE25'!L240+'DOE25'!L283+'DOE25'!L302+'DOE25'!L321,0)</f>
        <v>837383</v>
      </c>
      <c r="D16" s="182">
        <f t="shared" si="0"/>
        <v>3.4</v>
      </c>
    </row>
    <row r="17" spans="1:4" x14ac:dyDescent="0.2">
      <c r="A17" s="183" t="s">
        <v>723</v>
      </c>
      <c r="B17" t="s">
        <v>738</v>
      </c>
      <c r="C17" s="179">
        <f>ROUND('DOE25'!L205+'DOE25'!L210+'DOE25'!L223+'DOE25'!L228+'DOE25'!L241+'DOE25'!L246+'DOE25'!L284+'DOE25'!L289+'DOE25'!L303+'DOE25'!L308+'DOE25'!L322+'DOE25'!L327,0)</f>
        <v>740789</v>
      </c>
      <c r="D17" s="182">
        <f t="shared" si="0"/>
        <v>3</v>
      </c>
    </row>
    <row r="18" spans="1:4" x14ac:dyDescent="0.2">
      <c r="A18">
        <v>2400</v>
      </c>
      <c r="B18" t="s">
        <v>711</v>
      </c>
      <c r="C18" s="179">
        <f>ROUND('DOE25'!L206+'DOE25'!L224+'DOE25'!L242+'DOE25'!L285+'DOE25'!L304+'DOE25'!L323,0)</f>
        <v>947275</v>
      </c>
      <c r="D18" s="182">
        <f t="shared" si="0"/>
        <v>3.8</v>
      </c>
    </row>
    <row r="19" spans="1:4" x14ac:dyDescent="0.2">
      <c r="A19">
        <v>2500</v>
      </c>
      <c r="B19" t="s">
        <v>708</v>
      </c>
      <c r="C19" s="179">
        <f>ROUND('DOE25'!L207+'DOE25'!L225+'DOE25'!L243+'DOE25'!L286+'DOE25'!L305+'DOE25'!L324,0)</f>
        <v>214080</v>
      </c>
      <c r="D19" s="182">
        <f t="shared" si="0"/>
        <v>0.9</v>
      </c>
    </row>
    <row r="20" spans="1:4" x14ac:dyDescent="0.2">
      <c r="A20">
        <v>2600</v>
      </c>
      <c r="B20" t="s">
        <v>709</v>
      </c>
      <c r="C20" s="179">
        <f>ROUND('DOE25'!L208+'DOE25'!L226+'DOE25'!L244+'DOE25'!L287+'DOE25'!L306+'DOE25'!L325,0)</f>
        <v>1546896</v>
      </c>
      <c r="D20" s="182">
        <f t="shared" si="0"/>
        <v>6.2</v>
      </c>
    </row>
    <row r="21" spans="1:4" x14ac:dyDescent="0.2">
      <c r="A21">
        <v>2700</v>
      </c>
      <c r="B21" t="s">
        <v>710</v>
      </c>
      <c r="C21" s="179">
        <f>ROUND('DOE25'!L209+'DOE25'!L227+'DOE25'!L245+'DOE25'!L288+'DOE25'!L307+'DOE25'!L326,0)</f>
        <v>1047641</v>
      </c>
      <c r="D21" s="182">
        <f t="shared" si="0"/>
        <v>4.2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85555</v>
      </c>
      <c r="D25" s="182">
        <f t="shared" si="0"/>
        <v>0.3</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278923.41000000003</v>
      </c>
      <c r="D27" s="182">
        <f t="shared" si="0"/>
        <v>1.1000000000000001</v>
      </c>
    </row>
    <row r="28" spans="1:4" x14ac:dyDescent="0.2">
      <c r="B28" s="187" t="s">
        <v>719</v>
      </c>
      <c r="C28" s="180">
        <f>SUM(C10:C27)</f>
        <v>24789375.41</v>
      </c>
      <c r="D28" s="184">
        <f>ROUND(SUM(D10:D27),0)</f>
        <v>100</v>
      </c>
    </row>
    <row r="29" spans="1:4" x14ac:dyDescent="0.2">
      <c r="A29">
        <v>4000</v>
      </c>
      <c r="B29" t="s">
        <v>724</v>
      </c>
      <c r="C29" s="179">
        <f>ROUND('DOE25'!L256+'DOE25'!L337+'DOE25'!L375+'DOE25'!L376+'DOE25'!L377+'DOE25'!L378+'DOE25'!L379+'DOE25'!L380+'DOE25'!L381,0)</f>
        <v>402930</v>
      </c>
    </row>
    <row r="30" spans="1:4" x14ac:dyDescent="0.2">
      <c r="B30" s="187" t="s">
        <v>725</v>
      </c>
      <c r="C30" s="180">
        <f>SUM(C28:C29)</f>
        <v>25192305.41</v>
      </c>
    </row>
    <row r="31" spans="1:4" x14ac:dyDescent="0.2">
      <c r="B31" s="33"/>
      <c r="C31" s="180"/>
    </row>
    <row r="32" spans="1:4" x14ac:dyDescent="0.2">
      <c r="A32">
        <v>5100</v>
      </c>
      <c r="B32" s="33" t="s">
        <v>726</v>
      </c>
      <c r="C32" s="180">
        <f>ROUND('DOE25'!L261+'DOE25'!L342,0)</f>
        <v>710000</v>
      </c>
    </row>
    <row r="34" spans="1:4" x14ac:dyDescent="0.2">
      <c r="A34" s="187" t="s">
        <v>94</v>
      </c>
      <c r="B34" s="188" t="s">
        <v>1667</v>
      </c>
      <c r="C34" s="181" t="s">
        <v>720</v>
      </c>
      <c r="D34" s="181" t="s">
        <v>721</v>
      </c>
    </row>
    <row r="35" spans="1:4" x14ac:dyDescent="0.2">
      <c r="A35">
        <v>1100</v>
      </c>
      <c r="B35" s="185" t="s">
        <v>727</v>
      </c>
      <c r="C35" s="179">
        <f>ROUND('DOE25'!F60+'DOE25'!G60+'DOE25'!H60+'DOE25'!I60+'DOE25'!J60,0)</f>
        <v>17026920</v>
      </c>
      <c r="D35" s="182">
        <f t="shared" ref="D35:D40" si="1">ROUND((C35/$C$41)*100,1)</f>
        <v>65.400000000000006</v>
      </c>
    </row>
    <row r="36" spans="1:4" x14ac:dyDescent="0.2">
      <c r="B36" s="185" t="s">
        <v>739</v>
      </c>
      <c r="C36" s="179">
        <f>SUM('DOE25'!F112:J112)-SUM('DOE25'!G97:G110)+('DOE25'!F175+'DOE25'!F176+'DOE25'!I175+'DOE25'!I176)-C35</f>
        <v>203963.05000000075</v>
      </c>
      <c r="D36" s="182">
        <f t="shared" si="1"/>
        <v>0.8</v>
      </c>
    </row>
    <row r="37" spans="1:4" x14ac:dyDescent="0.2">
      <c r="A37" s="183" t="s">
        <v>835</v>
      </c>
      <c r="B37" s="185" t="s">
        <v>728</v>
      </c>
      <c r="C37" s="179">
        <f>ROUND('DOE25'!F117+'DOE25'!F118,0)</f>
        <v>7194371</v>
      </c>
      <c r="D37" s="182">
        <f t="shared" si="1"/>
        <v>27.6</v>
      </c>
    </row>
    <row r="38" spans="1:4" x14ac:dyDescent="0.2">
      <c r="A38" s="183" t="s">
        <v>734</v>
      </c>
      <c r="B38" s="185" t="s">
        <v>729</v>
      </c>
      <c r="C38" s="179">
        <f>ROUND(SUM('DOE25'!F140:J140)-SUM('DOE25'!F117:F119),0)</f>
        <v>377333</v>
      </c>
      <c r="D38" s="182">
        <f t="shared" si="1"/>
        <v>1.4</v>
      </c>
    </row>
    <row r="39" spans="1:4" x14ac:dyDescent="0.2">
      <c r="A39">
        <v>4000</v>
      </c>
      <c r="B39" s="185" t="s">
        <v>730</v>
      </c>
      <c r="C39" s="179">
        <f>ROUND('DOE25'!F170+'DOE25'!G170+'DOE25'!H170+'DOE25'!I170,0)</f>
        <v>1233331</v>
      </c>
      <c r="D39" s="182">
        <f t="shared" si="1"/>
        <v>4.7</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26035918.050000001</v>
      </c>
      <c r="D41" s="184">
        <f>SUM(D35:D40)</f>
        <v>99.90000000000002</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C12" sqref="C12:M12"/>
    </sheetView>
  </sheetViews>
  <sheetFormatPr defaultColWidth="8.6640625" defaultRowHeight="11.25" x14ac:dyDescent="0.2"/>
  <cols>
    <col min="1" max="1" width="10.1640625" customWidth="1"/>
    <col min="14" max="14" width="6.1640625" customWidth="1"/>
  </cols>
  <sheetData>
    <row r="1" spans="1:26" ht="16.5" thickTop="1" x14ac:dyDescent="0.25">
      <c r="A1" s="385" t="s">
        <v>766</v>
      </c>
      <c r="B1" s="386"/>
      <c r="C1" s="386"/>
      <c r="D1" s="386"/>
      <c r="E1" s="386"/>
      <c r="F1" s="386"/>
      <c r="G1" s="386"/>
      <c r="H1" s="386"/>
      <c r="I1" s="386"/>
      <c r="J1" s="213"/>
      <c r="K1" s="213"/>
      <c r="L1" s="213"/>
      <c r="M1" s="214"/>
    </row>
    <row r="2" spans="1:26" ht="12.75" x14ac:dyDescent="0.2">
      <c r="A2" s="391" t="s">
        <v>763</v>
      </c>
      <c r="B2" s="392"/>
      <c r="C2" s="392"/>
      <c r="D2" s="392"/>
      <c r="E2" s="392"/>
      <c r="F2" s="389" t="str">
        <f>'DOE25'!A2</f>
        <v>SAU #74 Barrington School District</v>
      </c>
      <c r="G2" s="390"/>
      <c r="H2" s="390"/>
      <c r="I2" s="390"/>
      <c r="J2" s="52"/>
      <c r="K2" s="52"/>
      <c r="L2" s="52"/>
      <c r="M2" s="215"/>
    </row>
    <row r="3" spans="1:26" x14ac:dyDescent="0.2">
      <c r="A3" s="216" t="s">
        <v>764</v>
      </c>
      <c r="B3" s="217" t="s">
        <v>765</v>
      </c>
      <c r="C3" s="387" t="s">
        <v>767</v>
      </c>
      <c r="D3" s="387"/>
      <c r="E3" s="387"/>
      <c r="F3" s="387"/>
      <c r="G3" s="387"/>
      <c r="H3" s="387"/>
      <c r="I3" s="387"/>
      <c r="J3" s="387"/>
      <c r="K3" s="387"/>
      <c r="L3" s="387"/>
      <c r="M3" s="388"/>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82"/>
      <c r="Q29" s="382"/>
      <c r="R29" s="382"/>
      <c r="S29" s="382"/>
      <c r="T29" s="382"/>
      <c r="U29" s="382"/>
      <c r="V29" s="382"/>
      <c r="W29" s="382"/>
      <c r="X29" s="382"/>
      <c r="Y29" s="382"/>
      <c r="Z29" s="382"/>
      <c r="AA29" s="207"/>
      <c r="AB29" s="207"/>
      <c r="AC29" s="381"/>
      <c r="AD29" s="381"/>
      <c r="AE29" s="381"/>
      <c r="AF29" s="381"/>
      <c r="AG29" s="381"/>
      <c r="AH29" s="381"/>
      <c r="AI29" s="381"/>
      <c r="AJ29" s="381"/>
      <c r="AK29" s="381"/>
      <c r="AL29" s="381"/>
      <c r="AM29" s="381"/>
      <c r="AN29" s="207"/>
      <c r="AO29" s="207"/>
      <c r="AP29" s="381"/>
      <c r="AQ29" s="381"/>
      <c r="AR29" s="381"/>
      <c r="AS29" s="381"/>
      <c r="AT29" s="381"/>
      <c r="AU29" s="381"/>
      <c r="AV29" s="381"/>
      <c r="AW29" s="381"/>
      <c r="AX29" s="381"/>
      <c r="AY29" s="381"/>
      <c r="AZ29" s="381"/>
      <c r="BA29" s="207"/>
      <c r="BB29" s="207"/>
      <c r="BC29" s="381"/>
      <c r="BD29" s="381"/>
      <c r="BE29" s="381"/>
      <c r="BF29" s="381"/>
      <c r="BG29" s="381"/>
      <c r="BH29" s="381"/>
      <c r="BI29" s="381"/>
      <c r="BJ29" s="381"/>
      <c r="BK29" s="381"/>
      <c r="BL29" s="381"/>
      <c r="BM29" s="381"/>
      <c r="BN29" s="207"/>
      <c r="BO29" s="207"/>
      <c r="BP29" s="381"/>
      <c r="BQ29" s="381"/>
      <c r="BR29" s="381"/>
      <c r="BS29" s="381"/>
      <c r="BT29" s="381"/>
      <c r="BU29" s="381"/>
      <c r="BV29" s="381"/>
      <c r="BW29" s="381"/>
      <c r="BX29" s="381"/>
      <c r="BY29" s="381"/>
      <c r="BZ29" s="381"/>
      <c r="CA29" s="207"/>
      <c r="CB29" s="207"/>
      <c r="CC29" s="381"/>
      <c r="CD29" s="381"/>
      <c r="CE29" s="381"/>
      <c r="CF29" s="381"/>
      <c r="CG29" s="381"/>
      <c r="CH29" s="381"/>
      <c r="CI29" s="381"/>
      <c r="CJ29" s="381"/>
      <c r="CK29" s="381"/>
      <c r="CL29" s="381"/>
      <c r="CM29" s="381"/>
      <c r="CN29" s="207"/>
      <c r="CO29" s="207"/>
      <c r="CP29" s="381"/>
      <c r="CQ29" s="381"/>
      <c r="CR29" s="381"/>
      <c r="CS29" s="381"/>
      <c r="CT29" s="381"/>
      <c r="CU29" s="381"/>
      <c r="CV29" s="381"/>
      <c r="CW29" s="381"/>
      <c r="CX29" s="381"/>
      <c r="CY29" s="381"/>
      <c r="CZ29" s="381"/>
      <c r="DA29" s="207"/>
      <c r="DB29" s="207"/>
      <c r="DC29" s="381"/>
      <c r="DD29" s="381"/>
      <c r="DE29" s="381"/>
      <c r="DF29" s="381"/>
      <c r="DG29" s="381"/>
      <c r="DH29" s="381"/>
      <c r="DI29" s="381"/>
      <c r="DJ29" s="381"/>
      <c r="DK29" s="381"/>
      <c r="DL29" s="381"/>
      <c r="DM29" s="381"/>
      <c r="DN29" s="207"/>
      <c r="DO29" s="207"/>
      <c r="DP29" s="381"/>
      <c r="DQ29" s="381"/>
      <c r="DR29" s="381"/>
      <c r="DS29" s="381"/>
      <c r="DT29" s="381"/>
      <c r="DU29" s="381"/>
      <c r="DV29" s="381"/>
      <c r="DW29" s="381"/>
      <c r="DX29" s="381"/>
      <c r="DY29" s="381"/>
      <c r="DZ29" s="381"/>
      <c r="EA29" s="207"/>
      <c r="EB29" s="207"/>
      <c r="EC29" s="381"/>
      <c r="ED29" s="381"/>
      <c r="EE29" s="381"/>
      <c r="EF29" s="381"/>
      <c r="EG29" s="381"/>
      <c r="EH29" s="381"/>
      <c r="EI29" s="381"/>
      <c r="EJ29" s="381"/>
      <c r="EK29" s="381"/>
      <c r="EL29" s="381"/>
      <c r="EM29" s="381"/>
      <c r="EN29" s="207"/>
      <c r="EO29" s="207"/>
      <c r="EP29" s="381"/>
      <c r="EQ29" s="381"/>
      <c r="ER29" s="381"/>
      <c r="ES29" s="381"/>
      <c r="ET29" s="381"/>
      <c r="EU29" s="381"/>
      <c r="EV29" s="381"/>
      <c r="EW29" s="381"/>
      <c r="EX29" s="381"/>
      <c r="EY29" s="381"/>
      <c r="EZ29" s="381"/>
      <c r="FA29" s="207"/>
      <c r="FB29" s="207"/>
      <c r="FC29" s="381"/>
      <c r="FD29" s="381"/>
      <c r="FE29" s="381"/>
      <c r="FF29" s="381"/>
      <c r="FG29" s="381"/>
      <c r="FH29" s="381"/>
      <c r="FI29" s="381"/>
      <c r="FJ29" s="381"/>
      <c r="FK29" s="381"/>
      <c r="FL29" s="381"/>
      <c r="FM29" s="381"/>
      <c r="FN29" s="207"/>
      <c r="FO29" s="207"/>
      <c r="FP29" s="381"/>
      <c r="FQ29" s="381"/>
      <c r="FR29" s="381"/>
      <c r="FS29" s="381"/>
      <c r="FT29" s="381"/>
      <c r="FU29" s="381"/>
      <c r="FV29" s="381"/>
      <c r="FW29" s="381"/>
      <c r="FX29" s="381"/>
      <c r="FY29" s="381"/>
      <c r="FZ29" s="381"/>
      <c r="GA29" s="207"/>
      <c r="GB29" s="207"/>
      <c r="GC29" s="381"/>
      <c r="GD29" s="381"/>
      <c r="GE29" s="381"/>
      <c r="GF29" s="381"/>
      <c r="GG29" s="381"/>
      <c r="GH29" s="381"/>
      <c r="GI29" s="381"/>
      <c r="GJ29" s="381"/>
      <c r="GK29" s="381"/>
      <c r="GL29" s="381"/>
      <c r="GM29" s="381"/>
      <c r="GN29" s="207"/>
      <c r="GO29" s="207"/>
      <c r="GP29" s="381"/>
      <c r="GQ29" s="381"/>
      <c r="GR29" s="381"/>
      <c r="GS29" s="381"/>
      <c r="GT29" s="381"/>
      <c r="GU29" s="381"/>
      <c r="GV29" s="381"/>
      <c r="GW29" s="381"/>
      <c r="GX29" s="381"/>
      <c r="GY29" s="381"/>
      <c r="GZ29" s="381"/>
      <c r="HA29" s="207"/>
      <c r="HB29" s="207"/>
      <c r="HC29" s="381"/>
      <c r="HD29" s="381"/>
      <c r="HE29" s="381"/>
      <c r="HF29" s="381"/>
      <c r="HG29" s="381"/>
      <c r="HH29" s="381"/>
      <c r="HI29" s="381"/>
      <c r="HJ29" s="381"/>
      <c r="HK29" s="381"/>
      <c r="HL29" s="381"/>
      <c r="HM29" s="381"/>
      <c r="HN29" s="207"/>
      <c r="HO29" s="207"/>
      <c r="HP29" s="381"/>
      <c r="HQ29" s="381"/>
      <c r="HR29" s="381"/>
      <c r="HS29" s="381"/>
      <c r="HT29" s="381"/>
      <c r="HU29" s="381"/>
      <c r="HV29" s="381"/>
      <c r="HW29" s="381"/>
      <c r="HX29" s="381"/>
      <c r="HY29" s="381"/>
      <c r="HZ29" s="381"/>
      <c r="IA29" s="207"/>
      <c r="IB29" s="207"/>
      <c r="IC29" s="381"/>
      <c r="ID29" s="381"/>
      <c r="IE29" s="381"/>
      <c r="IF29" s="381"/>
      <c r="IG29" s="381"/>
      <c r="IH29" s="381"/>
      <c r="II29" s="381"/>
      <c r="IJ29" s="381"/>
      <c r="IK29" s="381"/>
      <c r="IL29" s="381"/>
      <c r="IM29" s="381"/>
      <c r="IN29" s="207"/>
      <c r="IO29" s="207"/>
      <c r="IP29" s="381"/>
      <c r="IQ29" s="381"/>
      <c r="IR29" s="381"/>
      <c r="IS29" s="381"/>
      <c r="IT29" s="381"/>
      <c r="IU29" s="381"/>
      <c r="IV29" s="381"/>
    </row>
    <row r="30" spans="1:256" x14ac:dyDescent="0.2">
      <c r="A30" s="218"/>
      <c r="B30" s="219"/>
      <c r="C30" s="376"/>
      <c r="D30" s="376"/>
      <c r="E30" s="376"/>
      <c r="F30" s="376"/>
      <c r="G30" s="376"/>
      <c r="H30" s="376"/>
      <c r="I30" s="376"/>
      <c r="J30" s="376"/>
      <c r="K30" s="376"/>
      <c r="L30" s="376"/>
      <c r="M30" s="377"/>
      <c r="N30" s="211"/>
      <c r="O30" s="211"/>
      <c r="P30" s="382"/>
      <c r="Q30" s="382"/>
      <c r="R30" s="382"/>
      <c r="S30" s="382"/>
      <c r="T30" s="382"/>
      <c r="U30" s="382"/>
      <c r="V30" s="382"/>
      <c r="W30" s="382"/>
      <c r="X30" s="382"/>
      <c r="Y30" s="382"/>
      <c r="Z30" s="382"/>
      <c r="AA30" s="207"/>
      <c r="AB30" s="207"/>
      <c r="AC30" s="381"/>
      <c r="AD30" s="381"/>
      <c r="AE30" s="381"/>
      <c r="AF30" s="381"/>
      <c r="AG30" s="381"/>
      <c r="AH30" s="381"/>
      <c r="AI30" s="381"/>
      <c r="AJ30" s="381"/>
      <c r="AK30" s="381"/>
      <c r="AL30" s="381"/>
      <c r="AM30" s="381"/>
      <c r="AN30" s="207"/>
      <c r="AO30" s="207"/>
      <c r="AP30" s="381"/>
      <c r="AQ30" s="381"/>
      <c r="AR30" s="381"/>
      <c r="AS30" s="381"/>
      <c r="AT30" s="381"/>
      <c r="AU30" s="381"/>
      <c r="AV30" s="381"/>
      <c r="AW30" s="381"/>
      <c r="AX30" s="381"/>
      <c r="AY30" s="381"/>
      <c r="AZ30" s="381"/>
      <c r="BA30" s="207"/>
      <c r="BB30" s="207"/>
      <c r="BC30" s="381"/>
      <c r="BD30" s="381"/>
      <c r="BE30" s="381"/>
      <c r="BF30" s="381"/>
      <c r="BG30" s="381"/>
      <c r="BH30" s="381"/>
      <c r="BI30" s="381"/>
      <c r="BJ30" s="381"/>
      <c r="BK30" s="381"/>
      <c r="BL30" s="381"/>
      <c r="BM30" s="381"/>
      <c r="BN30" s="207"/>
      <c r="BO30" s="207"/>
      <c r="BP30" s="381"/>
      <c r="BQ30" s="381"/>
      <c r="BR30" s="381"/>
      <c r="BS30" s="381"/>
      <c r="BT30" s="381"/>
      <c r="BU30" s="381"/>
      <c r="BV30" s="381"/>
      <c r="BW30" s="381"/>
      <c r="BX30" s="381"/>
      <c r="BY30" s="381"/>
      <c r="BZ30" s="381"/>
      <c r="CA30" s="207"/>
      <c r="CB30" s="207"/>
      <c r="CC30" s="381"/>
      <c r="CD30" s="381"/>
      <c r="CE30" s="381"/>
      <c r="CF30" s="381"/>
      <c r="CG30" s="381"/>
      <c r="CH30" s="381"/>
      <c r="CI30" s="381"/>
      <c r="CJ30" s="381"/>
      <c r="CK30" s="381"/>
      <c r="CL30" s="381"/>
      <c r="CM30" s="381"/>
      <c r="CN30" s="207"/>
      <c r="CO30" s="207"/>
      <c r="CP30" s="381"/>
      <c r="CQ30" s="381"/>
      <c r="CR30" s="381"/>
      <c r="CS30" s="381"/>
      <c r="CT30" s="381"/>
      <c r="CU30" s="381"/>
      <c r="CV30" s="381"/>
      <c r="CW30" s="381"/>
      <c r="CX30" s="381"/>
      <c r="CY30" s="381"/>
      <c r="CZ30" s="381"/>
      <c r="DA30" s="207"/>
      <c r="DB30" s="207"/>
      <c r="DC30" s="381"/>
      <c r="DD30" s="381"/>
      <c r="DE30" s="381"/>
      <c r="DF30" s="381"/>
      <c r="DG30" s="381"/>
      <c r="DH30" s="381"/>
      <c r="DI30" s="381"/>
      <c r="DJ30" s="381"/>
      <c r="DK30" s="381"/>
      <c r="DL30" s="381"/>
      <c r="DM30" s="381"/>
      <c r="DN30" s="207"/>
      <c r="DO30" s="207"/>
      <c r="DP30" s="381"/>
      <c r="DQ30" s="381"/>
      <c r="DR30" s="381"/>
      <c r="DS30" s="381"/>
      <c r="DT30" s="381"/>
      <c r="DU30" s="381"/>
      <c r="DV30" s="381"/>
      <c r="DW30" s="381"/>
      <c r="DX30" s="381"/>
      <c r="DY30" s="381"/>
      <c r="DZ30" s="381"/>
      <c r="EA30" s="207"/>
      <c r="EB30" s="207"/>
      <c r="EC30" s="381"/>
      <c r="ED30" s="381"/>
      <c r="EE30" s="381"/>
      <c r="EF30" s="381"/>
      <c r="EG30" s="381"/>
      <c r="EH30" s="381"/>
      <c r="EI30" s="381"/>
      <c r="EJ30" s="381"/>
      <c r="EK30" s="381"/>
      <c r="EL30" s="381"/>
      <c r="EM30" s="381"/>
      <c r="EN30" s="207"/>
      <c r="EO30" s="207"/>
      <c r="EP30" s="381"/>
      <c r="EQ30" s="381"/>
      <c r="ER30" s="381"/>
      <c r="ES30" s="381"/>
      <c r="ET30" s="381"/>
      <c r="EU30" s="381"/>
      <c r="EV30" s="381"/>
      <c r="EW30" s="381"/>
      <c r="EX30" s="381"/>
      <c r="EY30" s="381"/>
      <c r="EZ30" s="381"/>
      <c r="FA30" s="207"/>
      <c r="FB30" s="207"/>
      <c r="FC30" s="381"/>
      <c r="FD30" s="381"/>
      <c r="FE30" s="381"/>
      <c r="FF30" s="381"/>
      <c r="FG30" s="381"/>
      <c r="FH30" s="381"/>
      <c r="FI30" s="381"/>
      <c r="FJ30" s="381"/>
      <c r="FK30" s="381"/>
      <c r="FL30" s="381"/>
      <c r="FM30" s="381"/>
      <c r="FN30" s="207"/>
      <c r="FO30" s="207"/>
      <c r="FP30" s="381"/>
      <c r="FQ30" s="381"/>
      <c r="FR30" s="381"/>
      <c r="FS30" s="381"/>
      <c r="FT30" s="381"/>
      <c r="FU30" s="381"/>
      <c r="FV30" s="381"/>
      <c r="FW30" s="381"/>
      <c r="FX30" s="381"/>
      <c r="FY30" s="381"/>
      <c r="FZ30" s="381"/>
      <c r="GA30" s="207"/>
      <c r="GB30" s="207"/>
      <c r="GC30" s="381"/>
      <c r="GD30" s="381"/>
      <c r="GE30" s="381"/>
      <c r="GF30" s="381"/>
      <c r="GG30" s="381"/>
      <c r="GH30" s="381"/>
      <c r="GI30" s="381"/>
      <c r="GJ30" s="381"/>
      <c r="GK30" s="381"/>
      <c r="GL30" s="381"/>
      <c r="GM30" s="381"/>
      <c r="GN30" s="207"/>
      <c r="GO30" s="207"/>
      <c r="GP30" s="381"/>
      <c r="GQ30" s="381"/>
      <c r="GR30" s="381"/>
      <c r="GS30" s="381"/>
      <c r="GT30" s="381"/>
      <c r="GU30" s="381"/>
      <c r="GV30" s="381"/>
      <c r="GW30" s="381"/>
      <c r="GX30" s="381"/>
      <c r="GY30" s="381"/>
      <c r="GZ30" s="381"/>
      <c r="HA30" s="207"/>
      <c r="HB30" s="207"/>
      <c r="HC30" s="381"/>
      <c r="HD30" s="381"/>
      <c r="HE30" s="381"/>
      <c r="HF30" s="381"/>
      <c r="HG30" s="381"/>
      <c r="HH30" s="381"/>
      <c r="HI30" s="381"/>
      <c r="HJ30" s="381"/>
      <c r="HK30" s="381"/>
      <c r="HL30" s="381"/>
      <c r="HM30" s="381"/>
      <c r="HN30" s="207"/>
      <c r="HO30" s="207"/>
      <c r="HP30" s="381"/>
      <c r="HQ30" s="381"/>
      <c r="HR30" s="381"/>
      <c r="HS30" s="381"/>
      <c r="HT30" s="381"/>
      <c r="HU30" s="381"/>
      <c r="HV30" s="381"/>
      <c r="HW30" s="381"/>
      <c r="HX30" s="381"/>
      <c r="HY30" s="381"/>
      <c r="HZ30" s="381"/>
      <c r="IA30" s="207"/>
      <c r="IB30" s="207"/>
      <c r="IC30" s="381"/>
      <c r="ID30" s="381"/>
      <c r="IE30" s="381"/>
      <c r="IF30" s="381"/>
      <c r="IG30" s="381"/>
      <c r="IH30" s="381"/>
      <c r="II30" s="381"/>
      <c r="IJ30" s="381"/>
      <c r="IK30" s="381"/>
      <c r="IL30" s="381"/>
      <c r="IM30" s="381"/>
      <c r="IN30" s="207"/>
      <c r="IO30" s="207"/>
      <c r="IP30" s="381"/>
      <c r="IQ30" s="381"/>
      <c r="IR30" s="381"/>
      <c r="IS30" s="381"/>
      <c r="IT30" s="381"/>
      <c r="IU30" s="381"/>
      <c r="IV30" s="381"/>
    </row>
    <row r="31" spans="1:256" x14ac:dyDescent="0.2">
      <c r="A31" s="218"/>
      <c r="B31" s="219"/>
      <c r="C31" s="376"/>
      <c r="D31" s="376"/>
      <c r="E31" s="376"/>
      <c r="F31" s="376"/>
      <c r="G31" s="376"/>
      <c r="H31" s="376"/>
      <c r="I31" s="376"/>
      <c r="J31" s="376"/>
      <c r="K31" s="376"/>
      <c r="L31" s="376"/>
      <c r="M31" s="377"/>
      <c r="N31" s="211"/>
      <c r="O31" s="211"/>
      <c r="P31" s="382"/>
      <c r="Q31" s="382"/>
      <c r="R31" s="382"/>
      <c r="S31" s="382"/>
      <c r="T31" s="382"/>
      <c r="U31" s="382"/>
      <c r="V31" s="382"/>
      <c r="W31" s="382"/>
      <c r="X31" s="382"/>
      <c r="Y31" s="382"/>
      <c r="Z31" s="382"/>
      <c r="AA31" s="207"/>
      <c r="AB31" s="207"/>
      <c r="AC31" s="381"/>
      <c r="AD31" s="381"/>
      <c r="AE31" s="381"/>
      <c r="AF31" s="381"/>
      <c r="AG31" s="381"/>
      <c r="AH31" s="381"/>
      <c r="AI31" s="381"/>
      <c r="AJ31" s="381"/>
      <c r="AK31" s="381"/>
      <c r="AL31" s="381"/>
      <c r="AM31" s="381"/>
      <c r="AN31" s="207"/>
      <c r="AO31" s="207"/>
      <c r="AP31" s="381"/>
      <c r="AQ31" s="381"/>
      <c r="AR31" s="381"/>
      <c r="AS31" s="381"/>
      <c r="AT31" s="381"/>
      <c r="AU31" s="381"/>
      <c r="AV31" s="381"/>
      <c r="AW31" s="381"/>
      <c r="AX31" s="381"/>
      <c r="AY31" s="381"/>
      <c r="AZ31" s="381"/>
      <c r="BA31" s="207"/>
      <c r="BB31" s="207"/>
      <c r="BC31" s="381"/>
      <c r="BD31" s="381"/>
      <c r="BE31" s="381"/>
      <c r="BF31" s="381"/>
      <c r="BG31" s="381"/>
      <c r="BH31" s="381"/>
      <c r="BI31" s="381"/>
      <c r="BJ31" s="381"/>
      <c r="BK31" s="381"/>
      <c r="BL31" s="381"/>
      <c r="BM31" s="381"/>
      <c r="BN31" s="207"/>
      <c r="BO31" s="207"/>
      <c r="BP31" s="381"/>
      <c r="BQ31" s="381"/>
      <c r="BR31" s="381"/>
      <c r="BS31" s="381"/>
      <c r="BT31" s="381"/>
      <c r="BU31" s="381"/>
      <c r="BV31" s="381"/>
      <c r="BW31" s="381"/>
      <c r="BX31" s="381"/>
      <c r="BY31" s="381"/>
      <c r="BZ31" s="381"/>
      <c r="CA31" s="207"/>
      <c r="CB31" s="207"/>
      <c r="CC31" s="381"/>
      <c r="CD31" s="381"/>
      <c r="CE31" s="381"/>
      <c r="CF31" s="381"/>
      <c r="CG31" s="381"/>
      <c r="CH31" s="381"/>
      <c r="CI31" s="381"/>
      <c r="CJ31" s="381"/>
      <c r="CK31" s="381"/>
      <c r="CL31" s="381"/>
      <c r="CM31" s="381"/>
      <c r="CN31" s="207"/>
      <c r="CO31" s="207"/>
      <c r="CP31" s="381"/>
      <c r="CQ31" s="381"/>
      <c r="CR31" s="381"/>
      <c r="CS31" s="381"/>
      <c r="CT31" s="381"/>
      <c r="CU31" s="381"/>
      <c r="CV31" s="381"/>
      <c r="CW31" s="381"/>
      <c r="CX31" s="381"/>
      <c r="CY31" s="381"/>
      <c r="CZ31" s="381"/>
      <c r="DA31" s="207"/>
      <c r="DB31" s="207"/>
      <c r="DC31" s="381"/>
      <c r="DD31" s="381"/>
      <c r="DE31" s="381"/>
      <c r="DF31" s="381"/>
      <c r="DG31" s="381"/>
      <c r="DH31" s="381"/>
      <c r="DI31" s="381"/>
      <c r="DJ31" s="381"/>
      <c r="DK31" s="381"/>
      <c r="DL31" s="381"/>
      <c r="DM31" s="381"/>
      <c r="DN31" s="207"/>
      <c r="DO31" s="207"/>
      <c r="DP31" s="381"/>
      <c r="DQ31" s="381"/>
      <c r="DR31" s="381"/>
      <c r="DS31" s="381"/>
      <c r="DT31" s="381"/>
      <c r="DU31" s="381"/>
      <c r="DV31" s="381"/>
      <c r="DW31" s="381"/>
      <c r="DX31" s="381"/>
      <c r="DY31" s="381"/>
      <c r="DZ31" s="381"/>
      <c r="EA31" s="207"/>
      <c r="EB31" s="207"/>
      <c r="EC31" s="381"/>
      <c r="ED31" s="381"/>
      <c r="EE31" s="381"/>
      <c r="EF31" s="381"/>
      <c r="EG31" s="381"/>
      <c r="EH31" s="381"/>
      <c r="EI31" s="381"/>
      <c r="EJ31" s="381"/>
      <c r="EK31" s="381"/>
      <c r="EL31" s="381"/>
      <c r="EM31" s="381"/>
      <c r="EN31" s="207"/>
      <c r="EO31" s="207"/>
      <c r="EP31" s="381"/>
      <c r="EQ31" s="381"/>
      <c r="ER31" s="381"/>
      <c r="ES31" s="381"/>
      <c r="ET31" s="381"/>
      <c r="EU31" s="381"/>
      <c r="EV31" s="381"/>
      <c r="EW31" s="381"/>
      <c r="EX31" s="381"/>
      <c r="EY31" s="381"/>
      <c r="EZ31" s="381"/>
      <c r="FA31" s="207"/>
      <c r="FB31" s="207"/>
      <c r="FC31" s="381"/>
      <c r="FD31" s="381"/>
      <c r="FE31" s="381"/>
      <c r="FF31" s="381"/>
      <c r="FG31" s="381"/>
      <c r="FH31" s="381"/>
      <c r="FI31" s="381"/>
      <c r="FJ31" s="381"/>
      <c r="FK31" s="381"/>
      <c r="FL31" s="381"/>
      <c r="FM31" s="381"/>
      <c r="FN31" s="207"/>
      <c r="FO31" s="207"/>
      <c r="FP31" s="381"/>
      <c r="FQ31" s="381"/>
      <c r="FR31" s="381"/>
      <c r="FS31" s="381"/>
      <c r="FT31" s="381"/>
      <c r="FU31" s="381"/>
      <c r="FV31" s="381"/>
      <c r="FW31" s="381"/>
      <c r="FX31" s="381"/>
      <c r="FY31" s="381"/>
      <c r="FZ31" s="381"/>
      <c r="GA31" s="207"/>
      <c r="GB31" s="207"/>
      <c r="GC31" s="381"/>
      <c r="GD31" s="381"/>
      <c r="GE31" s="381"/>
      <c r="GF31" s="381"/>
      <c r="GG31" s="381"/>
      <c r="GH31" s="381"/>
      <c r="GI31" s="381"/>
      <c r="GJ31" s="381"/>
      <c r="GK31" s="381"/>
      <c r="GL31" s="381"/>
      <c r="GM31" s="381"/>
      <c r="GN31" s="207"/>
      <c r="GO31" s="207"/>
      <c r="GP31" s="381"/>
      <c r="GQ31" s="381"/>
      <c r="GR31" s="381"/>
      <c r="GS31" s="381"/>
      <c r="GT31" s="381"/>
      <c r="GU31" s="381"/>
      <c r="GV31" s="381"/>
      <c r="GW31" s="381"/>
      <c r="GX31" s="381"/>
      <c r="GY31" s="381"/>
      <c r="GZ31" s="381"/>
      <c r="HA31" s="207"/>
      <c r="HB31" s="207"/>
      <c r="HC31" s="381"/>
      <c r="HD31" s="381"/>
      <c r="HE31" s="381"/>
      <c r="HF31" s="381"/>
      <c r="HG31" s="381"/>
      <c r="HH31" s="381"/>
      <c r="HI31" s="381"/>
      <c r="HJ31" s="381"/>
      <c r="HK31" s="381"/>
      <c r="HL31" s="381"/>
      <c r="HM31" s="381"/>
      <c r="HN31" s="207"/>
      <c r="HO31" s="207"/>
      <c r="HP31" s="381"/>
      <c r="HQ31" s="381"/>
      <c r="HR31" s="381"/>
      <c r="HS31" s="381"/>
      <c r="HT31" s="381"/>
      <c r="HU31" s="381"/>
      <c r="HV31" s="381"/>
      <c r="HW31" s="381"/>
      <c r="HX31" s="381"/>
      <c r="HY31" s="381"/>
      <c r="HZ31" s="381"/>
      <c r="IA31" s="207"/>
      <c r="IB31" s="207"/>
      <c r="IC31" s="381"/>
      <c r="ID31" s="381"/>
      <c r="IE31" s="381"/>
      <c r="IF31" s="381"/>
      <c r="IG31" s="381"/>
      <c r="IH31" s="381"/>
      <c r="II31" s="381"/>
      <c r="IJ31" s="381"/>
      <c r="IK31" s="381"/>
      <c r="IL31" s="381"/>
      <c r="IM31" s="381"/>
      <c r="IN31" s="207"/>
      <c r="IO31" s="207"/>
      <c r="IP31" s="381"/>
      <c r="IQ31" s="381"/>
      <c r="IR31" s="381"/>
      <c r="IS31" s="381"/>
      <c r="IT31" s="381"/>
      <c r="IU31" s="381"/>
      <c r="IV31" s="381"/>
    </row>
    <row r="32" spans="1:256" x14ac:dyDescent="0.2">
      <c r="A32" s="218"/>
      <c r="B32" s="219"/>
      <c r="C32" s="376"/>
      <c r="D32" s="376"/>
      <c r="E32" s="376"/>
      <c r="F32" s="376"/>
      <c r="G32" s="376"/>
      <c r="H32" s="376"/>
      <c r="I32" s="376"/>
      <c r="J32" s="376"/>
      <c r="K32" s="376"/>
      <c r="L32" s="376"/>
      <c r="M32" s="377"/>
      <c r="N32" s="223"/>
      <c r="O32" s="223"/>
      <c r="P32" s="383"/>
      <c r="Q32" s="383"/>
      <c r="R32" s="383"/>
      <c r="S32" s="383"/>
      <c r="T32" s="383"/>
      <c r="U32" s="383"/>
      <c r="V32" s="383"/>
      <c r="W32" s="383"/>
      <c r="X32" s="383"/>
      <c r="Y32" s="383"/>
      <c r="Z32" s="384"/>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82"/>
      <c r="Q38" s="382"/>
      <c r="R38" s="382"/>
      <c r="S38" s="382"/>
      <c r="T38" s="382"/>
      <c r="U38" s="382"/>
      <c r="V38" s="382"/>
      <c r="W38" s="382"/>
      <c r="X38" s="382"/>
      <c r="Y38" s="382"/>
      <c r="Z38" s="382"/>
      <c r="AA38" s="207"/>
      <c r="AB38" s="207"/>
      <c r="AC38" s="381"/>
      <c r="AD38" s="381"/>
      <c r="AE38" s="381"/>
      <c r="AF38" s="381"/>
      <c r="AG38" s="381"/>
      <c r="AH38" s="381"/>
      <c r="AI38" s="381"/>
      <c r="AJ38" s="381"/>
      <c r="AK38" s="381"/>
      <c r="AL38" s="381"/>
      <c r="AM38" s="381"/>
      <c r="AN38" s="207"/>
      <c r="AO38" s="207"/>
      <c r="AP38" s="381"/>
      <c r="AQ38" s="381"/>
      <c r="AR38" s="381"/>
      <c r="AS38" s="381"/>
      <c r="AT38" s="381"/>
      <c r="AU38" s="381"/>
      <c r="AV38" s="381"/>
      <c r="AW38" s="381"/>
      <c r="AX38" s="381"/>
      <c r="AY38" s="381"/>
      <c r="AZ38" s="381"/>
      <c r="BA38" s="207"/>
      <c r="BB38" s="207"/>
      <c r="BC38" s="381"/>
      <c r="BD38" s="381"/>
      <c r="BE38" s="381"/>
      <c r="BF38" s="381"/>
      <c r="BG38" s="381"/>
      <c r="BH38" s="381"/>
      <c r="BI38" s="381"/>
      <c r="BJ38" s="381"/>
      <c r="BK38" s="381"/>
      <c r="BL38" s="381"/>
      <c r="BM38" s="381"/>
      <c r="BN38" s="207"/>
      <c r="BO38" s="207"/>
      <c r="BP38" s="381"/>
      <c r="BQ38" s="381"/>
      <c r="BR38" s="381"/>
      <c r="BS38" s="381"/>
      <c r="BT38" s="381"/>
      <c r="BU38" s="381"/>
      <c r="BV38" s="381"/>
      <c r="BW38" s="381"/>
      <c r="BX38" s="381"/>
      <c r="BY38" s="381"/>
      <c r="BZ38" s="381"/>
      <c r="CA38" s="207"/>
      <c r="CB38" s="207"/>
      <c r="CC38" s="381"/>
      <c r="CD38" s="381"/>
      <c r="CE38" s="381"/>
      <c r="CF38" s="381"/>
      <c r="CG38" s="381"/>
      <c r="CH38" s="381"/>
      <c r="CI38" s="381"/>
      <c r="CJ38" s="381"/>
      <c r="CK38" s="381"/>
      <c r="CL38" s="381"/>
      <c r="CM38" s="381"/>
      <c r="CN38" s="207"/>
      <c r="CO38" s="207"/>
      <c r="CP38" s="381"/>
      <c r="CQ38" s="381"/>
      <c r="CR38" s="381"/>
      <c r="CS38" s="381"/>
      <c r="CT38" s="381"/>
      <c r="CU38" s="381"/>
      <c r="CV38" s="381"/>
      <c r="CW38" s="381"/>
      <c r="CX38" s="381"/>
      <c r="CY38" s="381"/>
      <c r="CZ38" s="381"/>
      <c r="DA38" s="207"/>
      <c r="DB38" s="207"/>
      <c r="DC38" s="381"/>
      <c r="DD38" s="381"/>
      <c r="DE38" s="381"/>
      <c r="DF38" s="381"/>
      <c r="DG38" s="381"/>
      <c r="DH38" s="381"/>
      <c r="DI38" s="381"/>
      <c r="DJ38" s="381"/>
      <c r="DK38" s="381"/>
      <c r="DL38" s="381"/>
      <c r="DM38" s="381"/>
      <c r="DN38" s="207"/>
      <c r="DO38" s="207"/>
      <c r="DP38" s="381"/>
      <c r="DQ38" s="381"/>
      <c r="DR38" s="381"/>
      <c r="DS38" s="381"/>
      <c r="DT38" s="381"/>
      <c r="DU38" s="381"/>
      <c r="DV38" s="381"/>
      <c r="DW38" s="381"/>
      <c r="DX38" s="381"/>
      <c r="DY38" s="381"/>
      <c r="DZ38" s="381"/>
      <c r="EA38" s="207"/>
      <c r="EB38" s="207"/>
      <c r="EC38" s="381"/>
      <c r="ED38" s="381"/>
      <c r="EE38" s="381"/>
      <c r="EF38" s="381"/>
      <c r="EG38" s="381"/>
      <c r="EH38" s="381"/>
      <c r="EI38" s="381"/>
      <c r="EJ38" s="381"/>
      <c r="EK38" s="381"/>
      <c r="EL38" s="381"/>
      <c r="EM38" s="381"/>
      <c r="EN38" s="207"/>
      <c r="EO38" s="207"/>
      <c r="EP38" s="381"/>
      <c r="EQ38" s="381"/>
      <c r="ER38" s="381"/>
      <c r="ES38" s="381"/>
      <c r="ET38" s="381"/>
      <c r="EU38" s="381"/>
      <c r="EV38" s="381"/>
      <c r="EW38" s="381"/>
      <c r="EX38" s="381"/>
      <c r="EY38" s="381"/>
      <c r="EZ38" s="381"/>
      <c r="FA38" s="207"/>
      <c r="FB38" s="207"/>
      <c r="FC38" s="381"/>
      <c r="FD38" s="381"/>
      <c r="FE38" s="381"/>
      <c r="FF38" s="381"/>
      <c r="FG38" s="381"/>
      <c r="FH38" s="381"/>
      <c r="FI38" s="381"/>
      <c r="FJ38" s="381"/>
      <c r="FK38" s="381"/>
      <c r="FL38" s="381"/>
      <c r="FM38" s="381"/>
      <c r="FN38" s="207"/>
      <c r="FO38" s="207"/>
      <c r="FP38" s="381"/>
      <c r="FQ38" s="381"/>
      <c r="FR38" s="381"/>
      <c r="FS38" s="381"/>
      <c r="FT38" s="381"/>
      <c r="FU38" s="381"/>
      <c r="FV38" s="381"/>
      <c r="FW38" s="381"/>
      <c r="FX38" s="381"/>
      <c r="FY38" s="381"/>
      <c r="FZ38" s="381"/>
      <c r="GA38" s="207"/>
      <c r="GB38" s="207"/>
      <c r="GC38" s="381"/>
      <c r="GD38" s="381"/>
      <c r="GE38" s="381"/>
      <c r="GF38" s="381"/>
      <c r="GG38" s="381"/>
      <c r="GH38" s="381"/>
      <c r="GI38" s="381"/>
      <c r="GJ38" s="381"/>
      <c r="GK38" s="381"/>
      <c r="GL38" s="381"/>
      <c r="GM38" s="381"/>
      <c r="GN38" s="207"/>
      <c r="GO38" s="207"/>
      <c r="GP38" s="381"/>
      <c r="GQ38" s="381"/>
      <c r="GR38" s="381"/>
      <c r="GS38" s="381"/>
      <c r="GT38" s="381"/>
      <c r="GU38" s="381"/>
      <c r="GV38" s="381"/>
      <c r="GW38" s="381"/>
      <c r="GX38" s="381"/>
      <c r="GY38" s="381"/>
      <c r="GZ38" s="381"/>
      <c r="HA38" s="207"/>
      <c r="HB38" s="207"/>
      <c r="HC38" s="381"/>
      <c r="HD38" s="381"/>
      <c r="HE38" s="381"/>
      <c r="HF38" s="381"/>
      <c r="HG38" s="381"/>
      <c r="HH38" s="381"/>
      <c r="HI38" s="381"/>
      <c r="HJ38" s="381"/>
      <c r="HK38" s="381"/>
      <c r="HL38" s="381"/>
      <c r="HM38" s="381"/>
      <c r="HN38" s="207"/>
      <c r="HO38" s="207"/>
      <c r="HP38" s="381"/>
      <c r="HQ38" s="381"/>
      <c r="HR38" s="381"/>
      <c r="HS38" s="381"/>
      <c r="HT38" s="381"/>
      <c r="HU38" s="381"/>
      <c r="HV38" s="381"/>
      <c r="HW38" s="381"/>
      <c r="HX38" s="381"/>
      <c r="HY38" s="381"/>
      <c r="HZ38" s="381"/>
      <c r="IA38" s="207"/>
      <c r="IB38" s="207"/>
      <c r="IC38" s="381"/>
      <c r="ID38" s="381"/>
      <c r="IE38" s="381"/>
      <c r="IF38" s="381"/>
      <c r="IG38" s="381"/>
      <c r="IH38" s="381"/>
      <c r="II38" s="381"/>
      <c r="IJ38" s="381"/>
      <c r="IK38" s="381"/>
      <c r="IL38" s="381"/>
      <c r="IM38" s="381"/>
      <c r="IN38" s="207"/>
      <c r="IO38" s="207"/>
      <c r="IP38" s="381"/>
      <c r="IQ38" s="381"/>
      <c r="IR38" s="381"/>
      <c r="IS38" s="381"/>
      <c r="IT38" s="381"/>
      <c r="IU38" s="381"/>
      <c r="IV38" s="381"/>
    </row>
    <row r="39" spans="1:256" x14ac:dyDescent="0.2">
      <c r="A39" s="218"/>
      <c r="B39" s="219"/>
      <c r="C39" s="376"/>
      <c r="D39" s="376"/>
      <c r="E39" s="376"/>
      <c r="F39" s="376"/>
      <c r="G39" s="376"/>
      <c r="H39" s="376"/>
      <c r="I39" s="376"/>
      <c r="J39" s="376"/>
      <c r="K39" s="376"/>
      <c r="L39" s="376"/>
      <c r="M39" s="377"/>
      <c r="N39" s="211"/>
      <c r="O39" s="211"/>
      <c r="P39" s="382"/>
      <c r="Q39" s="382"/>
      <c r="R39" s="382"/>
      <c r="S39" s="382"/>
      <c r="T39" s="382"/>
      <c r="U39" s="382"/>
      <c r="V39" s="382"/>
      <c r="W39" s="382"/>
      <c r="X39" s="382"/>
      <c r="Y39" s="382"/>
      <c r="Z39" s="382"/>
      <c r="AA39" s="207"/>
      <c r="AB39" s="207"/>
      <c r="AC39" s="381"/>
      <c r="AD39" s="381"/>
      <c r="AE39" s="381"/>
      <c r="AF39" s="381"/>
      <c r="AG39" s="381"/>
      <c r="AH39" s="381"/>
      <c r="AI39" s="381"/>
      <c r="AJ39" s="381"/>
      <c r="AK39" s="381"/>
      <c r="AL39" s="381"/>
      <c r="AM39" s="381"/>
      <c r="AN39" s="207"/>
      <c r="AO39" s="207"/>
      <c r="AP39" s="381"/>
      <c r="AQ39" s="381"/>
      <c r="AR39" s="381"/>
      <c r="AS39" s="381"/>
      <c r="AT39" s="381"/>
      <c r="AU39" s="381"/>
      <c r="AV39" s="381"/>
      <c r="AW39" s="381"/>
      <c r="AX39" s="381"/>
      <c r="AY39" s="381"/>
      <c r="AZ39" s="381"/>
      <c r="BA39" s="207"/>
      <c r="BB39" s="207"/>
      <c r="BC39" s="381"/>
      <c r="BD39" s="381"/>
      <c r="BE39" s="381"/>
      <c r="BF39" s="381"/>
      <c r="BG39" s="381"/>
      <c r="BH39" s="381"/>
      <c r="BI39" s="381"/>
      <c r="BJ39" s="381"/>
      <c r="BK39" s="381"/>
      <c r="BL39" s="381"/>
      <c r="BM39" s="381"/>
      <c r="BN39" s="207"/>
      <c r="BO39" s="207"/>
      <c r="BP39" s="381"/>
      <c r="BQ39" s="381"/>
      <c r="BR39" s="381"/>
      <c r="BS39" s="381"/>
      <c r="BT39" s="381"/>
      <c r="BU39" s="381"/>
      <c r="BV39" s="381"/>
      <c r="BW39" s="381"/>
      <c r="BX39" s="381"/>
      <c r="BY39" s="381"/>
      <c r="BZ39" s="381"/>
      <c r="CA39" s="207"/>
      <c r="CB39" s="207"/>
      <c r="CC39" s="381"/>
      <c r="CD39" s="381"/>
      <c r="CE39" s="381"/>
      <c r="CF39" s="381"/>
      <c r="CG39" s="381"/>
      <c r="CH39" s="381"/>
      <c r="CI39" s="381"/>
      <c r="CJ39" s="381"/>
      <c r="CK39" s="381"/>
      <c r="CL39" s="381"/>
      <c r="CM39" s="381"/>
      <c r="CN39" s="207"/>
      <c r="CO39" s="207"/>
      <c r="CP39" s="381"/>
      <c r="CQ39" s="381"/>
      <c r="CR39" s="381"/>
      <c r="CS39" s="381"/>
      <c r="CT39" s="381"/>
      <c r="CU39" s="381"/>
      <c r="CV39" s="381"/>
      <c r="CW39" s="381"/>
      <c r="CX39" s="381"/>
      <c r="CY39" s="381"/>
      <c r="CZ39" s="381"/>
      <c r="DA39" s="207"/>
      <c r="DB39" s="207"/>
      <c r="DC39" s="381"/>
      <c r="DD39" s="381"/>
      <c r="DE39" s="381"/>
      <c r="DF39" s="381"/>
      <c r="DG39" s="381"/>
      <c r="DH39" s="381"/>
      <c r="DI39" s="381"/>
      <c r="DJ39" s="381"/>
      <c r="DK39" s="381"/>
      <c r="DL39" s="381"/>
      <c r="DM39" s="381"/>
      <c r="DN39" s="207"/>
      <c r="DO39" s="207"/>
      <c r="DP39" s="381"/>
      <c r="DQ39" s="381"/>
      <c r="DR39" s="381"/>
      <c r="DS39" s="381"/>
      <c r="DT39" s="381"/>
      <c r="DU39" s="381"/>
      <c r="DV39" s="381"/>
      <c r="DW39" s="381"/>
      <c r="DX39" s="381"/>
      <c r="DY39" s="381"/>
      <c r="DZ39" s="381"/>
      <c r="EA39" s="207"/>
      <c r="EB39" s="207"/>
      <c r="EC39" s="381"/>
      <c r="ED39" s="381"/>
      <c r="EE39" s="381"/>
      <c r="EF39" s="381"/>
      <c r="EG39" s="381"/>
      <c r="EH39" s="381"/>
      <c r="EI39" s="381"/>
      <c r="EJ39" s="381"/>
      <c r="EK39" s="381"/>
      <c r="EL39" s="381"/>
      <c r="EM39" s="381"/>
      <c r="EN39" s="207"/>
      <c r="EO39" s="207"/>
      <c r="EP39" s="381"/>
      <c r="EQ39" s="381"/>
      <c r="ER39" s="381"/>
      <c r="ES39" s="381"/>
      <c r="ET39" s="381"/>
      <c r="EU39" s="381"/>
      <c r="EV39" s="381"/>
      <c r="EW39" s="381"/>
      <c r="EX39" s="381"/>
      <c r="EY39" s="381"/>
      <c r="EZ39" s="381"/>
      <c r="FA39" s="207"/>
      <c r="FB39" s="207"/>
      <c r="FC39" s="381"/>
      <c r="FD39" s="381"/>
      <c r="FE39" s="381"/>
      <c r="FF39" s="381"/>
      <c r="FG39" s="381"/>
      <c r="FH39" s="381"/>
      <c r="FI39" s="381"/>
      <c r="FJ39" s="381"/>
      <c r="FK39" s="381"/>
      <c r="FL39" s="381"/>
      <c r="FM39" s="381"/>
      <c r="FN39" s="207"/>
      <c r="FO39" s="207"/>
      <c r="FP39" s="381"/>
      <c r="FQ39" s="381"/>
      <c r="FR39" s="381"/>
      <c r="FS39" s="381"/>
      <c r="FT39" s="381"/>
      <c r="FU39" s="381"/>
      <c r="FV39" s="381"/>
      <c r="FW39" s="381"/>
      <c r="FX39" s="381"/>
      <c r="FY39" s="381"/>
      <c r="FZ39" s="381"/>
      <c r="GA39" s="207"/>
      <c r="GB39" s="207"/>
      <c r="GC39" s="381"/>
      <c r="GD39" s="381"/>
      <c r="GE39" s="381"/>
      <c r="GF39" s="381"/>
      <c r="GG39" s="381"/>
      <c r="GH39" s="381"/>
      <c r="GI39" s="381"/>
      <c r="GJ39" s="381"/>
      <c r="GK39" s="381"/>
      <c r="GL39" s="381"/>
      <c r="GM39" s="381"/>
      <c r="GN39" s="207"/>
      <c r="GO39" s="207"/>
      <c r="GP39" s="381"/>
      <c r="GQ39" s="381"/>
      <c r="GR39" s="381"/>
      <c r="GS39" s="381"/>
      <c r="GT39" s="381"/>
      <c r="GU39" s="381"/>
      <c r="GV39" s="381"/>
      <c r="GW39" s="381"/>
      <c r="GX39" s="381"/>
      <c r="GY39" s="381"/>
      <c r="GZ39" s="381"/>
      <c r="HA39" s="207"/>
      <c r="HB39" s="207"/>
      <c r="HC39" s="381"/>
      <c r="HD39" s="381"/>
      <c r="HE39" s="381"/>
      <c r="HF39" s="381"/>
      <c r="HG39" s="381"/>
      <c r="HH39" s="381"/>
      <c r="HI39" s="381"/>
      <c r="HJ39" s="381"/>
      <c r="HK39" s="381"/>
      <c r="HL39" s="381"/>
      <c r="HM39" s="381"/>
      <c r="HN39" s="207"/>
      <c r="HO39" s="207"/>
      <c r="HP39" s="381"/>
      <c r="HQ39" s="381"/>
      <c r="HR39" s="381"/>
      <c r="HS39" s="381"/>
      <c r="HT39" s="381"/>
      <c r="HU39" s="381"/>
      <c r="HV39" s="381"/>
      <c r="HW39" s="381"/>
      <c r="HX39" s="381"/>
      <c r="HY39" s="381"/>
      <c r="HZ39" s="381"/>
      <c r="IA39" s="207"/>
      <c r="IB39" s="207"/>
      <c r="IC39" s="381"/>
      <c r="ID39" s="381"/>
      <c r="IE39" s="381"/>
      <c r="IF39" s="381"/>
      <c r="IG39" s="381"/>
      <c r="IH39" s="381"/>
      <c r="II39" s="381"/>
      <c r="IJ39" s="381"/>
      <c r="IK39" s="381"/>
      <c r="IL39" s="381"/>
      <c r="IM39" s="381"/>
      <c r="IN39" s="207"/>
      <c r="IO39" s="207"/>
      <c r="IP39" s="381"/>
      <c r="IQ39" s="381"/>
      <c r="IR39" s="381"/>
      <c r="IS39" s="381"/>
      <c r="IT39" s="381"/>
      <c r="IU39" s="381"/>
      <c r="IV39" s="381"/>
    </row>
    <row r="40" spans="1:256" x14ac:dyDescent="0.2">
      <c r="A40" s="218"/>
      <c r="B40" s="219"/>
      <c r="C40" s="376"/>
      <c r="D40" s="376"/>
      <c r="E40" s="376"/>
      <c r="F40" s="376"/>
      <c r="G40" s="376"/>
      <c r="H40" s="376"/>
      <c r="I40" s="376"/>
      <c r="J40" s="376"/>
      <c r="K40" s="376"/>
      <c r="L40" s="376"/>
      <c r="M40" s="377"/>
      <c r="N40" s="211"/>
      <c r="O40" s="211"/>
      <c r="P40" s="382"/>
      <c r="Q40" s="382"/>
      <c r="R40" s="382"/>
      <c r="S40" s="382"/>
      <c r="T40" s="382"/>
      <c r="U40" s="382"/>
      <c r="V40" s="382"/>
      <c r="W40" s="382"/>
      <c r="X40" s="382"/>
      <c r="Y40" s="382"/>
      <c r="Z40" s="382"/>
      <c r="AA40" s="207"/>
      <c r="AB40" s="207"/>
      <c r="AC40" s="381"/>
      <c r="AD40" s="381"/>
      <c r="AE40" s="381"/>
      <c r="AF40" s="381"/>
      <c r="AG40" s="381"/>
      <c r="AH40" s="381"/>
      <c r="AI40" s="381"/>
      <c r="AJ40" s="381"/>
      <c r="AK40" s="381"/>
      <c r="AL40" s="381"/>
      <c r="AM40" s="381"/>
      <c r="AN40" s="207"/>
      <c r="AO40" s="207"/>
      <c r="AP40" s="381"/>
      <c r="AQ40" s="381"/>
      <c r="AR40" s="381"/>
      <c r="AS40" s="381"/>
      <c r="AT40" s="381"/>
      <c r="AU40" s="381"/>
      <c r="AV40" s="381"/>
      <c r="AW40" s="381"/>
      <c r="AX40" s="381"/>
      <c r="AY40" s="381"/>
      <c r="AZ40" s="381"/>
      <c r="BA40" s="207"/>
      <c r="BB40" s="207"/>
      <c r="BC40" s="381"/>
      <c r="BD40" s="381"/>
      <c r="BE40" s="381"/>
      <c r="BF40" s="381"/>
      <c r="BG40" s="381"/>
      <c r="BH40" s="381"/>
      <c r="BI40" s="381"/>
      <c r="BJ40" s="381"/>
      <c r="BK40" s="381"/>
      <c r="BL40" s="381"/>
      <c r="BM40" s="381"/>
      <c r="BN40" s="207"/>
      <c r="BO40" s="207"/>
      <c r="BP40" s="381"/>
      <c r="BQ40" s="381"/>
      <c r="BR40" s="381"/>
      <c r="BS40" s="381"/>
      <c r="BT40" s="381"/>
      <c r="BU40" s="381"/>
      <c r="BV40" s="381"/>
      <c r="BW40" s="381"/>
      <c r="BX40" s="381"/>
      <c r="BY40" s="381"/>
      <c r="BZ40" s="381"/>
      <c r="CA40" s="207"/>
      <c r="CB40" s="207"/>
      <c r="CC40" s="381"/>
      <c r="CD40" s="381"/>
      <c r="CE40" s="381"/>
      <c r="CF40" s="381"/>
      <c r="CG40" s="381"/>
      <c r="CH40" s="381"/>
      <c r="CI40" s="381"/>
      <c r="CJ40" s="381"/>
      <c r="CK40" s="381"/>
      <c r="CL40" s="381"/>
      <c r="CM40" s="381"/>
      <c r="CN40" s="207"/>
      <c r="CO40" s="207"/>
      <c r="CP40" s="381"/>
      <c r="CQ40" s="381"/>
      <c r="CR40" s="381"/>
      <c r="CS40" s="381"/>
      <c r="CT40" s="381"/>
      <c r="CU40" s="381"/>
      <c r="CV40" s="381"/>
      <c r="CW40" s="381"/>
      <c r="CX40" s="381"/>
      <c r="CY40" s="381"/>
      <c r="CZ40" s="381"/>
      <c r="DA40" s="207"/>
      <c r="DB40" s="207"/>
      <c r="DC40" s="381"/>
      <c r="DD40" s="381"/>
      <c r="DE40" s="381"/>
      <c r="DF40" s="381"/>
      <c r="DG40" s="381"/>
      <c r="DH40" s="381"/>
      <c r="DI40" s="381"/>
      <c r="DJ40" s="381"/>
      <c r="DK40" s="381"/>
      <c r="DL40" s="381"/>
      <c r="DM40" s="381"/>
      <c r="DN40" s="207"/>
      <c r="DO40" s="207"/>
      <c r="DP40" s="381"/>
      <c r="DQ40" s="381"/>
      <c r="DR40" s="381"/>
      <c r="DS40" s="381"/>
      <c r="DT40" s="381"/>
      <c r="DU40" s="381"/>
      <c r="DV40" s="381"/>
      <c r="DW40" s="381"/>
      <c r="DX40" s="381"/>
      <c r="DY40" s="381"/>
      <c r="DZ40" s="381"/>
      <c r="EA40" s="207"/>
      <c r="EB40" s="207"/>
      <c r="EC40" s="381"/>
      <c r="ED40" s="381"/>
      <c r="EE40" s="381"/>
      <c r="EF40" s="381"/>
      <c r="EG40" s="381"/>
      <c r="EH40" s="381"/>
      <c r="EI40" s="381"/>
      <c r="EJ40" s="381"/>
      <c r="EK40" s="381"/>
      <c r="EL40" s="381"/>
      <c r="EM40" s="381"/>
      <c r="EN40" s="207"/>
      <c r="EO40" s="207"/>
      <c r="EP40" s="381"/>
      <c r="EQ40" s="381"/>
      <c r="ER40" s="381"/>
      <c r="ES40" s="381"/>
      <c r="ET40" s="381"/>
      <c r="EU40" s="381"/>
      <c r="EV40" s="381"/>
      <c r="EW40" s="381"/>
      <c r="EX40" s="381"/>
      <c r="EY40" s="381"/>
      <c r="EZ40" s="381"/>
      <c r="FA40" s="207"/>
      <c r="FB40" s="207"/>
      <c r="FC40" s="381"/>
      <c r="FD40" s="381"/>
      <c r="FE40" s="381"/>
      <c r="FF40" s="381"/>
      <c r="FG40" s="381"/>
      <c r="FH40" s="381"/>
      <c r="FI40" s="381"/>
      <c r="FJ40" s="381"/>
      <c r="FK40" s="381"/>
      <c r="FL40" s="381"/>
      <c r="FM40" s="381"/>
      <c r="FN40" s="207"/>
      <c r="FO40" s="207"/>
      <c r="FP40" s="381"/>
      <c r="FQ40" s="381"/>
      <c r="FR40" s="381"/>
      <c r="FS40" s="381"/>
      <c r="FT40" s="381"/>
      <c r="FU40" s="381"/>
      <c r="FV40" s="381"/>
      <c r="FW40" s="381"/>
      <c r="FX40" s="381"/>
      <c r="FY40" s="381"/>
      <c r="FZ40" s="381"/>
      <c r="GA40" s="207"/>
      <c r="GB40" s="207"/>
      <c r="GC40" s="381"/>
      <c r="GD40" s="381"/>
      <c r="GE40" s="381"/>
      <c r="GF40" s="381"/>
      <c r="GG40" s="381"/>
      <c r="GH40" s="381"/>
      <c r="GI40" s="381"/>
      <c r="GJ40" s="381"/>
      <c r="GK40" s="381"/>
      <c r="GL40" s="381"/>
      <c r="GM40" s="381"/>
      <c r="GN40" s="207"/>
      <c r="GO40" s="207"/>
      <c r="GP40" s="381"/>
      <c r="GQ40" s="381"/>
      <c r="GR40" s="381"/>
      <c r="GS40" s="381"/>
      <c r="GT40" s="381"/>
      <c r="GU40" s="381"/>
      <c r="GV40" s="381"/>
      <c r="GW40" s="381"/>
      <c r="GX40" s="381"/>
      <c r="GY40" s="381"/>
      <c r="GZ40" s="381"/>
      <c r="HA40" s="207"/>
      <c r="HB40" s="207"/>
      <c r="HC40" s="381"/>
      <c r="HD40" s="381"/>
      <c r="HE40" s="381"/>
      <c r="HF40" s="381"/>
      <c r="HG40" s="381"/>
      <c r="HH40" s="381"/>
      <c r="HI40" s="381"/>
      <c r="HJ40" s="381"/>
      <c r="HK40" s="381"/>
      <c r="HL40" s="381"/>
      <c r="HM40" s="381"/>
      <c r="HN40" s="207"/>
      <c r="HO40" s="207"/>
      <c r="HP40" s="381"/>
      <c r="HQ40" s="381"/>
      <c r="HR40" s="381"/>
      <c r="HS40" s="381"/>
      <c r="HT40" s="381"/>
      <c r="HU40" s="381"/>
      <c r="HV40" s="381"/>
      <c r="HW40" s="381"/>
      <c r="HX40" s="381"/>
      <c r="HY40" s="381"/>
      <c r="HZ40" s="381"/>
      <c r="IA40" s="207"/>
      <c r="IB40" s="207"/>
      <c r="IC40" s="381"/>
      <c r="ID40" s="381"/>
      <c r="IE40" s="381"/>
      <c r="IF40" s="381"/>
      <c r="IG40" s="381"/>
      <c r="IH40" s="381"/>
      <c r="II40" s="381"/>
      <c r="IJ40" s="381"/>
      <c r="IK40" s="381"/>
      <c r="IL40" s="381"/>
      <c r="IM40" s="381"/>
      <c r="IN40" s="207"/>
      <c r="IO40" s="207"/>
      <c r="IP40" s="381"/>
      <c r="IQ40" s="381"/>
      <c r="IR40" s="381"/>
      <c r="IS40" s="381"/>
      <c r="IT40" s="381"/>
      <c r="IU40" s="381"/>
      <c r="IV40" s="381"/>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78"/>
      <c r="D70" s="378"/>
      <c r="E70" s="378"/>
      <c r="F70" s="378"/>
      <c r="G70" s="378"/>
      <c r="H70" s="378"/>
      <c r="I70" s="378"/>
      <c r="J70" s="378"/>
      <c r="K70" s="378"/>
      <c r="L70" s="378"/>
      <c r="M70" s="379"/>
    </row>
    <row r="71" spans="1:13" ht="12" thickTop="1" x14ac:dyDescent="0.2">
      <c r="A71" s="208"/>
      <c r="B71" s="208"/>
      <c r="C71" s="209"/>
      <c r="D71" s="209"/>
      <c r="E71" s="209"/>
      <c r="F71" s="209"/>
      <c r="G71" s="209"/>
      <c r="H71" s="209"/>
      <c r="I71" s="209"/>
      <c r="J71" s="209"/>
      <c r="K71" s="209"/>
      <c r="L71" s="209"/>
    </row>
    <row r="72" spans="1:13" ht="12.75" x14ac:dyDescent="0.2">
      <c r="A72" s="380" t="s">
        <v>832</v>
      </c>
      <c r="B72" s="380"/>
      <c r="C72" s="380"/>
      <c r="D72" s="380"/>
      <c r="E72" s="380"/>
      <c r="F72" s="126"/>
      <c r="G72" s="126"/>
      <c r="H72" s="126"/>
      <c r="I72" s="126"/>
      <c r="J72" s="126"/>
      <c r="K72" s="126"/>
      <c r="L72" s="126"/>
      <c r="M72" s="126"/>
    </row>
    <row r="73" spans="1:13" x14ac:dyDescent="0.2">
      <c r="A73" s="210" t="s">
        <v>764</v>
      </c>
      <c r="B73" s="210" t="s">
        <v>765</v>
      </c>
      <c r="C73" s="375"/>
      <c r="D73" s="375"/>
      <c r="E73" s="375"/>
      <c r="F73" s="375"/>
      <c r="G73" s="375"/>
      <c r="H73" s="375"/>
      <c r="I73" s="375"/>
      <c r="J73" s="375"/>
      <c r="K73" s="375"/>
      <c r="L73" s="375"/>
      <c r="M73" s="375"/>
    </row>
    <row r="74" spans="1:13" x14ac:dyDescent="0.2">
      <c r="A74" s="211"/>
      <c r="B74" s="211"/>
      <c r="C74" s="375"/>
      <c r="D74" s="375"/>
      <c r="E74" s="375"/>
      <c r="F74" s="375"/>
      <c r="G74" s="375"/>
      <c r="H74" s="375"/>
      <c r="I74" s="375"/>
      <c r="J74" s="375"/>
      <c r="K74" s="375"/>
      <c r="L74" s="375"/>
      <c r="M74" s="375"/>
    </row>
    <row r="75" spans="1:13" x14ac:dyDescent="0.2">
      <c r="A75" s="211"/>
      <c r="B75" s="211"/>
      <c r="C75" s="375"/>
      <c r="D75" s="375"/>
      <c r="E75" s="375"/>
      <c r="F75" s="375"/>
      <c r="G75" s="375"/>
      <c r="H75" s="375"/>
      <c r="I75" s="375"/>
      <c r="J75" s="375"/>
      <c r="K75" s="375"/>
      <c r="L75" s="375"/>
      <c r="M75" s="375"/>
    </row>
    <row r="76" spans="1:13" x14ac:dyDescent="0.2">
      <c r="A76" s="211"/>
      <c r="B76" s="211"/>
      <c r="C76" s="375"/>
      <c r="D76" s="375"/>
      <c r="E76" s="375"/>
      <c r="F76" s="375"/>
      <c r="G76" s="375"/>
      <c r="H76" s="375"/>
      <c r="I76" s="375"/>
      <c r="J76" s="375"/>
      <c r="K76" s="375"/>
      <c r="L76" s="375"/>
      <c r="M76" s="375"/>
    </row>
    <row r="77" spans="1:13" x14ac:dyDescent="0.2">
      <c r="A77" s="211"/>
      <c r="B77" s="211"/>
      <c r="C77" s="375"/>
      <c r="D77" s="375"/>
      <c r="E77" s="375"/>
      <c r="F77" s="375"/>
      <c r="G77" s="375"/>
      <c r="H77" s="375"/>
      <c r="I77" s="375"/>
      <c r="J77" s="375"/>
      <c r="K77" s="375"/>
      <c r="L77" s="375"/>
      <c r="M77" s="375"/>
    </row>
    <row r="78" spans="1:13" x14ac:dyDescent="0.2">
      <c r="A78" s="211"/>
      <c r="B78" s="211"/>
      <c r="C78" s="375"/>
      <c r="D78" s="375"/>
      <c r="E78" s="375"/>
      <c r="F78" s="375"/>
      <c r="G78" s="375"/>
      <c r="H78" s="375"/>
      <c r="I78" s="375"/>
      <c r="J78" s="375"/>
      <c r="K78" s="375"/>
      <c r="L78" s="375"/>
      <c r="M78" s="375"/>
    </row>
    <row r="79" spans="1:13" x14ac:dyDescent="0.2">
      <c r="A79" s="211"/>
      <c r="B79" s="211"/>
      <c r="C79" s="375"/>
      <c r="D79" s="375"/>
      <c r="E79" s="375"/>
      <c r="F79" s="375"/>
      <c r="G79" s="375"/>
      <c r="H79" s="375"/>
      <c r="I79" s="375"/>
      <c r="J79" s="375"/>
      <c r="K79" s="375"/>
      <c r="L79" s="375"/>
      <c r="M79" s="375"/>
    </row>
    <row r="80" spans="1:13" x14ac:dyDescent="0.2">
      <c r="A80" s="211"/>
      <c r="B80" s="211"/>
      <c r="C80" s="375"/>
      <c r="D80" s="375"/>
      <c r="E80" s="375"/>
      <c r="F80" s="375"/>
      <c r="G80" s="375"/>
      <c r="H80" s="375"/>
      <c r="I80" s="375"/>
      <c r="J80" s="375"/>
      <c r="K80" s="375"/>
      <c r="L80" s="375"/>
      <c r="M80" s="375"/>
    </row>
    <row r="81" spans="1:13" x14ac:dyDescent="0.2">
      <c r="A81" s="211"/>
      <c r="B81" s="211"/>
      <c r="C81" s="375"/>
      <c r="D81" s="375"/>
      <c r="E81" s="375"/>
      <c r="F81" s="375"/>
      <c r="G81" s="375"/>
      <c r="H81" s="375"/>
      <c r="I81" s="375"/>
      <c r="J81" s="375"/>
      <c r="K81" s="375"/>
      <c r="L81" s="375"/>
      <c r="M81" s="375"/>
    </row>
    <row r="82" spans="1:13" x14ac:dyDescent="0.2">
      <c r="A82" s="211"/>
      <c r="B82" s="211"/>
      <c r="C82" s="375"/>
      <c r="D82" s="375"/>
      <c r="E82" s="375"/>
      <c r="F82" s="375"/>
      <c r="G82" s="375"/>
      <c r="H82" s="375"/>
      <c r="I82" s="375"/>
      <c r="J82" s="375"/>
      <c r="K82" s="375"/>
      <c r="L82" s="375"/>
      <c r="M82" s="375"/>
    </row>
    <row r="83" spans="1:13" x14ac:dyDescent="0.2">
      <c r="A83" s="211"/>
      <c r="B83" s="211"/>
      <c r="C83" s="375"/>
      <c r="D83" s="375"/>
      <c r="E83" s="375"/>
      <c r="F83" s="375"/>
      <c r="G83" s="375"/>
      <c r="H83" s="375"/>
      <c r="I83" s="375"/>
      <c r="J83" s="375"/>
      <c r="K83" s="375"/>
      <c r="L83" s="375"/>
      <c r="M83" s="375"/>
    </row>
    <row r="84" spans="1:13" x14ac:dyDescent="0.2">
      <c r="A84" s="211"/>
      <c r="B84" s="211"/>
      <c r="C84" s="375"/>
      <c r="D84" s="375"/>
      <c r="E84" s="375"/>
      <c r="F84" s="375"/>
      <c r="G84" s="375"/>
      <c r="H84" s="375"/>
      <c r="I84" s="375"/>
      <c r="J84" s="375"/>
      <c r="K84" s="375"/>
      <c r="L84" s="375"/>
      <c r="M84" s="375"/>
    </row>
    <row r="85" spans="1:13" x14ac:dyDescent="0.2">
      <c r="A85" s="211"/>
      <c r="B85" s="211"/>
      <c r="C85" s="375"/>
      <c r="D85" s="375"/>
      <c r="E85" s="375"/>
      <c r="F85" s="375"/>
      <c r="G85" s="375"/>
      <c r="H85" s="375"/>
      <c r="I85" s="375"/>
      <c r="J85" s="375"/>
      <c r="K85" s="375"/>
      <c r="L85" s="375"/>
      <c r="M85" s="375"/>
    </row>
    <row r="86" spans="1:13" x14ac:dyDescent="0.2">
      <c r="A86" s="211"/>
      <c r="B86" s="211"/>
      <c r="C86" s="375"/>
      <c r="D86" s="375"/>
      <c r="E86" s="375"/>
      <c r="F86" s="375"/>
      <c r="G86" s="375"/>
      <c r="H86" s="375"/>
      <c r="I86" s="375"/>
      <c r="J86" s="375"/>
      <c r="K86" s="375"/>
      <c r="L86" s="375"/>
      <c r="M86" s="375"/>
    </row>
    <row r="87" spans="1:13" x14ac:dyDescent="0.2">
      <c r="A87" s="211"/>
      <c r="B87" s="211"/>
      <c r="C87" s="375"/>
      <c r="D87" s="375"/>
      <c r="E87" s="375"/>
      <c r="F87" s="375"/>
      <c r="G87" s="375"/>
      <c r="H87" s="375"/>
      <c r="I87" s="375"/>
      <c r="J87" s="375"/>
      <c r="K87" s="375"/>
      <c r="L87" s="375"/>
      <c r="M87" s="375"/>
    </row>
    <row r="88" spans="1:13" x14ac:dyDescent="0.2">
      <c r="A88" s="211"/>
      <c r="B88" s="211"/>
      <c r="C88" s="375"/>
      <c r="D88" s="375"/>
      <c r="E88" s="375"/>
      <c r="F88" s="375"/>
      <c r="G88" s="375"/>
      <c r="H88" s="375"/>
      <c r="I88" s="375"/>
      <c r="J88" s="375"/>
      <c r="K88" s="375"/>
      <c r="L88" s="375"/>
      <c r="M88" s="375"/>
    </row>
    <row r="89" spans="1:13" x14ac:dyDescent="0.2">
      <c r="A89" s="211"/>
      <c r="B89" s="211"/>
      <c r="C89" s="375"/>
      <c r="D89" s="375"/>
      <c r="E89" s="375"/>
      <c r="F89" s="375"/>
      <c r="G89" s="375"/>
      <c r="H89" s="375"/>
      <c r="I89" s="375"/>
      <c r="J89" s="375"/>
      <c r="K89" s="375"/>
      <c r="L89" s="375"/>
      <c r="M89" s="375"/>
    </row>
    <row r="90" spans="1:13" x14ac:dyDescent="0.2">
      <c r="A90" s="211"/>
      <c r="B90" s="211"/>
      <c r="C90" s="375"/>
      <c r="D90" s="375"/>
      <c r="E90" s="375"/>
      <c r="F90" s="375"/>
      <c r="G90" s="375"/>
      <c r="H90" s="375"/>
      <c r="I90" s="375"/>
      <c r="J90" s="375"/>
      <c r="K90" s="375"/>
      <c r="L90" s="375"/>
      <c r="M90" s="37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ColWidth="8.6640625" defaultRowHeight="11.25" x14ac:dyDescent="0.2"/>
  <cols>
    <col min="2" max="2" width="54.1640625" bestFit="1" customWidth="1"/>
    <col min="3" max="3" width="53.6640625" bestFit="1" customWidth="1"/>
    <col min="4" max="4" width="10.1640625" customWidth="1"/>
    <col min="5" max="5" width="13.1640625" customWidth="1"/>
    <col min="8" max="8" width="41.6640625" bestFit="1" customWidth="1"/>
    <col min="9" max="9" width="43.1640625" bestFit="1" customWidth="1"/>
    <col min="11" max="11" width="13.6640625" customWidth="1"/>
    <col min="14" max="14" width="41.6640625" bestFit="1" customWidth="1"/>
    <col min="15" max="15" width="51.16406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2021-08-30T19:59:57Z</cp:lastPrinted>
  <dcterms:created xsi:type="dcterms:W3CDTF">1997-12-04T19:04:30Z</dcterms:created>
  <dcterms:modified xsi:type="dcterms:W3CDTF">2021-12-21T13:34:15Z</dcterms:modified>
</cp:coreProperties>
</file>