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showHorizontalScroll="0" xWindow="0" yWindow="0" windowWidth="21570" windowHeight="738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6" i="17" l="1"/>
  <c r="E24" i="17"/>
  <c r="E22" i="17"/>
  <c r="E28" i="17" l="1"/>
  <c r="E30" i="17"/>
  <c r="F120" i="1" l="1"/>
  <c r="I524" i="1" l="1"/>
  <c r="I523" i="1"/>
  <c r="I522" i="1"/>
  <c r="F524" i="1"/>
  <c r="F523" i="1"/>
  <c r="F522" i="1"/>
  <c r="H524" i="1"/>
  <c r="H523" i="1"/>
  <c r="H522" i="1"/>
  <c r="G529" i="1"/>
  <c r="G528" i="1"/>
  <c r="G527" i="1"/>
  <c r="I529" i="1"/>
  <c r="I528" i="1"/>
  <c r="I527" i="1"/>
  <c r="H529" i="1"/>
  <c r="H528" i="1"/>
  <c r="H527" i="1"/>
  <c r="F529" i="1"/>
  <c r="F528" i="1"/>
  <c r="F527" i="1"/>
  <c r="G534" i="1"/>
  <c r="G533" i="1"/>
  <c r="G532" i="1"/>
  <c r="F534" i="1"/>
  <c r="D8" i="14" l="1"/>
  <c r="D7" i="14"/>
  <c r="D6" i="14"/>
  <c r="D5" i="14"/>
  <c r="F325" i="15" l="1"/>
  <c r="F324" i="15"/>
  <c r="F323" i="15"/>
  <c r="F322" i="15"/>
  <c r="F321" i="15"/>
  <c r="F320" i="15"/>
  <c r="F319" i="15"/>
  <c r="F318" i="15"/>
  <c r="F317" i="15"/>
  <c r="F316" i="15"/>
  <c r="F315" i="15"/>
  <c r="F314" i="15"/>
  <c r="F313" i="15"/>
  <c r="F312" i="15"/>
  <c r="F311" i="15"/>
  <c r="F310" i="15"/>
  <c r="F309" i="15"/>
  <c r="F308" i="15"/>
  <c r="F307" i="15"/>
  <c r="F306" i="15"/>
  <c r="F305" i="15"/>
  <c r="F304" i="15"/>
  <c r="F303" i="15"/>
  <c r="F302" i="15"/>
  <c r="F301" i="15"/>
  <c r="F300" i="15"/>
  <c r="F299" i="15"/>
  <c r="F298" i="15"/>
  <c r="F297" i="15"/>
  <c r="F296" i="15"/>
  <c r="F295" i="15"/>
  <c r="F294" i="15"/>
  <c r="F293" i="15"/>
  <c r="F292" i="15"/>
  <c r="F291" i="15"/>
  <c r="F290" i="15"/>
  <c r="F289" i="15"/>
  <c r="F288" i="15"/>
  <c r="F287" i="15"/>
  <c r="F286" i="15"/>
  <c r="F285" i="15"/>
  <c r="F284" i="15"/>
  <c r="F283" i="15"/>
  <c r="F282" i="15"/>
  <c r="F281" i="15"/>
  <c r="F280" i="15"/>
  <c r="F279" i="15"/>
  <c r="F278" i="15"/>
  <c r="F277" i="15"/>
  <c r="F276" i="15"/>
  <c r="F275" i="15"/>
  <c r="F274" i="15"/>
  <c r="F273" i="15"/>
  <c r="F272" i="15"/>
  <c r="F271" i="15"/>
  <c r="F270" i="15"/>
  <c r="F269" i="15"/>
  <c r="F268" i="15"/>
  <c r="F267" i="15"/>
  <c r="F266" i="15"/>
  <c r="F265" i="15"/>
  <c r="F264" i="15"/>
  <c r="F263" i="15"/>
  <c r="F262" i="15"/>
  <c r="F261" i="15"/>
  <c r="F260" i="15"/>
  <c r="F259" i="15"/>
  <c r="F258" i="15"/>
  <c r="F257" i="15"/>
  <c r="F256" i="15"/>
  <c r="F255" i="15"/>
  <c r="F254" i="15"/>
  <c r="F253" i="15"/>
  <c r="F252" i="15"/>
  <c r="F251" i="15"/>
  <c r="F250" i="15"/>
  <c r="F249" i="15"/>
  <c r="F248" i="15"/>
  <c r="F247" i="15"/>
  <c r="F246" i="15"/>
  <c r="F245" i="15"/>
  <c r="F244" i="15"/>
  <c r="F243" i="15"/>
  <c r="F242" i="15"/>
  <c r="F241" i="15"/>
  <c r="F240" i="15"/>
  <c r="F239" i="15"/>
  <c r="F238" i="15"/>
  <c r="F237" i="15"/>
  <c r="F236" i="15"/>
  <c r="F235" i="15"/>
  <c r="F234" i="15"/>
  <c r="F233" i="15"/>
  <c r="F232" i="15"/>
  <c r="F231" i="15"/>
  <c r="F230" i="15"/>
  <c r="F229" i="15"/>
  <c r="F228" i="15"/>
  <c r="F227" i="15"/>
  <c r="F226" i="15"/>
  <c r="F225" i="15"/>
  <c r="F224" i="15"/>
  <c r="F223" i="15"/>
  <c r="F222" i="15"/>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F196" i="15"/>
  <c r="F195" i="15"/>
  <c r="F194" i="15"/>
  <c r="F193" i="15"/>
  <c r="F192" i="15"/>
  <c r="F191" i="15"/>
  <c r="F190" i="15"/>
  <c r="F189" i="15"/>
  <c r="F188" i="15"/>
  <c r="F187" i="15"/>
  <c r="F186" i="15"/>
  <c r="F185" i="15"/>
  <c r="F184" i="15"/>
  <c r="F183" i="15"/>
  <c r="F182" i="15"/>
  <c r="F181" i="15"/>
  <c r="F180" i="15"/>
  <c r="F179" i="15"/>
  <c r="F178" i="15"/>
  <c r="F177" i="15"/>
  <c r="F176" i="15"/>
  <c r="F175" i="15"/>
  <c r="F174" i="15"/>
  <c r="F173" i="15"/>
  <c r="F172" i="15"/>
  <c r="F171" i="15"/>
  <c r="F170" i="15"/>
  <c r="F169" i="15"/>
  <c r="F168" i="15"/>
  <c r="F167" i="15"/>
  <c r="F166" i="15"/>
  <c r="F165" i="15"/>
  <c r="F164" i="15"/>
  <c r="F163" i="15"/>
  <c r="F162" i="15"/>
  <c r="F161" i="15"/>
  <c r="F160" i="15"/>
  <c r="F159" i="15"/>
  <c r="F158" i="15"/>
  <c r="F157" i="15"/>
  <c r="F156" i="15"/>
  <c r="F155" i="15"/>
  <c r="F154" i="15"/>
  <c r="F153" i="15"/>
  <c r="F152" i="15"/>
  <c r="F151" i="15"/>
  <c r="F150" i="15"/>
  <c r="F149" i="15"/>
  <c r="F148" i="15"/>
  <c r="F147" i="15"/>
  <c r="F146" i="15"/>
  <c r="F145" i="15"/>
  <c r="F144" i="15"/>
  <c r="F143" i="15"/>
  <c r="F142" i="15"/>
  <c r="F141" i="15"/>
  <c r="F140" i="15"/>
  <c r="F139" i="15"/>
  <c r="F138" i="15"/>
  <c r="F137" i="15"/>
  <c r="F136" i="15"/>
  <c r="F135" i="15"/>
  <c r="F134" i="15"/>
  <c r="F133" i="15"/>
  <c r="F132" i="15"/>
  <c r="F131" i="15"/>
  <c r="F130" i="15"/>
  <c r="F129" i="15"/>
  <c r="F128" i="15"/>
  <c r="F127" i="15"/>
  <c r="F126" i="15"/>
  <c r="F125" i="15"/>
  <c r="F124" i="15"/>
  <c r="F123" i="15"/>
  <c r="F122" i="15"/>
  <c r="F121" i="15"/>
  <c r="F120" i="15"/>
  <c r="F119" i="15"/>
  <c r="F118" i="15"/>
  <c r="F117" i="15"/>
  <c r="F116" i="15"/>
  <c r="F115" i="15"/>
  <c r="F114" i="15"/>
  <c r="F113" i="15"/>
  <c r="F112" i="15"/>
  <c r="F111" i="15"/>
  <c r="F110" i="15"/>
  <c r="F109" i="15"/>
  <c r="F108" i="15"/>
  <c r="F107" i="15"/>
  <c r="F106" i="15"/>
  <c r="F105" i="15"/>
  <c r="F104" i="15"/>
  <c r="F103" i="15"/>
  <c r="F102" i="15"/>
  <c r="F101" i="15"/>
  <c r="F100" i="15"/>
  <c r="R99" i="15"/>
  <c r="F99" i="15"/>
  <c r="R98" i="15"/>
  <c r="F98" i="15"/>
  <c r="R97" i="15"/>
  <c r="F97" i="15"/>
  <c r="R96" i="15"/>
  <c r="F96" i="15"/>
  <c r="R95" i="15"/>
  <c r="F95" i="15"/>
  <c r="R94" i="15"/>
  <c r="F94" i="15"/>
  <c r="R93" i="15"/>
  <c r="F93" i="15"/>
  <c r="R92" i="15"/>
  <c r="F92" i="15"/>
  <c r="R91" i="15"/>
  <c r="F91" i="15"/>
  <c r="R90" i="15"/>
  <c r="F90" i="15"/>
  <c r="R89" i="15"/>
  <c r="F89" i="15"/>
  <c r="R88" i="15"/>
  <c r="F88" i="15"/>
  <c r="R87" i="15"/>
  <c r="F87" i="15"/>
  <c r="R86" i="15"/>
  <c r="F86" i="15"/>
  <c r="R85" i="15"/>
  <c r="F85" i="15"/>
  <c r="R84" i="15"/>
  <c r="F84" i="15"/>
  <c r="R83" i="15"/>
  <c r="F83" i="15"/>
  <c r="R82" i="15"/>
  <c r="F82" i="15"/>
  <c r="R81" i="15"/>
  <c r="F81" i="15"/>
  <c r="R80" i="15"/>
  <c r="F80" i="15"/>
  <c r="R79" i="15"/>
  <c r="F79" i="15"/>
  <c r="R78" i="15"/>
  <c r="F78" i="15"/>
  <c r="R77" i="15"/>
  <c r="L77" i="15"/>
  <c r="F77" i="15"/>
  <c r="R76" i="15"/>
  <c r="L76" i="15"/>
  <c r="F76" i="15"/>
  <c r="R75" i="15"/>
  <c r="L75" i="15"/>
  <c r="F75" i="15"/>
  <c r="R74" i="15"/>
  <c r="L74" i="15"/>
  <c r="F74" i="15"/>
  <c r="R73" i="15"/>
  <c r="L73" i="15"/>
  <c r="F73" i="15"/>
  <c r="R72" i="15"/>
  <c r="L72" i="15"/>
  <c r="F72" i="15"/>
  <c r="R71" i="15"/>
  <c r="L71" i="15"/>
  <c r="F71" i="15"/>
  <c r="R70" i="15"/>
  <c r="L70" i="15"/>
  <c r="F70" i="15"/>
  <c r="R69" i="15"/>
  <c r="L69" i="15"/>
  <c r="F69" i="15"/>
  <c r="R68" i="15"/>
  <c r="L68" i="15"/>
  <c r="F68" i="15"/>
  <c r="R67" i="15"/>
  <c r="L67" i="15"/>
  <c r="F67" i="15"/>
  <c r="R66" i="15"/>
  <c r="L66" i="15"/>
  <c r="F66" i="15"/>
  <c r="R65" i="15"/>
  <c r="L65" i="15"/>
  <c r="F65" i="15"/>
  <c r="R64" i="15"/>
  <c r="L64" i="15"/>
  <c r="F64" i="15"/>
  <c r="R63" i="15"/>
  <c r="L63" i="15"/>
  <c r="F63" i="15"/>
  <c r="R62" i="15"/>
  <c r="L62" i="15"/>
  <c r="F62" i="15"/>
  <c r="R61" i="15"/>
  <c r="L61" i="15"/>
  <c r="F61" i="15"/>
  <c r="R60" i="15"/>
  <c r="L60" i="15"/>
  <c r="F60" i="15"/>
  <c r="R59" i="15"/>
  <c r="L59" i="15"/>
  <c r="F59" i="15"/>
  <c r="R58" i="15"/>
  <c r="L58" i="15"/>
  <c r="F58" i="15"/>
  <c r="R57" i="15"/>
  <c r="L57" i="15"/>
  <c r="F57" i="15"/>
  <c r="R56" i="15"/>
  <c r="L56" i="15"/>
  <c r="F56" i="15"/>
  <c r="R55" i="15"/>
  <c r="L55" i="15"/>
  <c r="F55" i="15"/>
  <c r="R54" i="15"/>
  <c r="L54" i="15"/>
  <c r="F54" i="15"/>
  <c r="R53" i="15"/>
  <c r="L53" i="15"/>
  <c r="F53" i="15"/>
  <c r="R52" i="15"/>
  <c r="L52" i="15"/>
  <c r="F52" i="15"/>
  <c r="R51" i="15"/>
  <c r="L51" i="15"/>
  <c r="F51" i="15"/>
  <c r="R50" i="15"/>
  <c r="L50" i="15"/>
  <c r="F50" i="15"/>
  <c r="R49" i="15"/>
  <c r="L49" i="15"/>
  <c r="F49" i="15"/>
  <c r="R48" i="15"/>
  <c r="L48" i="15"/>
  <c r="F48" i="15"/>
  <c r="R47" i="15"/>
  <c r="L47" i="15"/>
  <c r="F47" i="15"/>
  <c r="R46" i="15"/>
  <c r="L46" i="15"/>
  <c r="F46" i="15"/>
  <c r="R45" i="15"/>
  <c r="L45" i="15"/>
  <c r="F45" i="15"/>
  <c r="R44" i="15"/>
  <c r="L44" i="15"/>
  <c r="F44" i="15"/>
  <c r="R43" i="15"/>
  <c r="L43" i="15"/>
  <c r="F43" i="15"/>
  <c r="R42" i="15"/>
  <c r="L42" i="15"/>
  <c r="F42" i="15"/>
  <c r="R41" i="15"/>
  <c r="L41" i="15"/>
  <c r="F41" i="15"/>
  <c r="R40" i="15"/>
  <c r="L40" i="15"/>
  <c r="F40" i="15"/>
  <c r="R39" i="15"/>
  <c r="L39" i="15"/>
  <c r="F39" i="15"/>
  <c r="R38" i="15"/>
  <c r="L38" i="15"/>
  <c r="F38" i="15"/>
  <c r="R37" i="15"/>
  <c r="L37" i="15"/>
  <c r="F37" i="15"/>
  <c r="R36" i="15"/>
  <c r="L36" i="15"/>
  <c r="F36" i="15"/>
  <c r="R35" i="15"/>
  <c r="L35" i="15"/>
  <c r="F35" i="15"/>
  <c r="R34" i="15"/>
  <c r="L34" i="15"/>
  <c r="F34" i="15"/>
  <c r="R33" i="15"/>
  <c r="L33" i="15"/>
  <c r="F33" i="15"/>
  <c r="R32" i="15"/>
  <c r="L32" i="15"/>
  <c r="F32" i="15"/>
  <c r="R31" i="15"/>
  <c r="L31" i="15"/>
  <c r="F31" i="15"/>
  <c r="R30" i="15"/>
  <c r="L30" i="15"/>
  <c r="F30" i="15"/>
  <c r="R29" i="15"/>
  <c r="L29" i="15"/>
  <c r="F29" i="15"/>
  <c r="R28" i="15"/>
  <c r="L28" i="15"/>
  <c r="F28" i="15"/>
  <c r="R27" i="15"/>
  <c r="L27" i="15"/>
  <c r="F27" i="15"/>
  <c r="R26" i="15"/>
  <c r="L26" i="15"/>
  <c r="F26" i="15"/>
  <c r="R25" i="15"/>
  <c r="L25" i="15"/>
  <c r="F25" i="15"/>
  <c r="R24" i="15"/>
  <c r="L24" i="15"/>
  <c r="F24" i="15"/>
  <c r="R23" i="15"/>
  <c r="L23" i="15"/>
  <c r="F23" i="15"/>
  <c r="R22" i="15"/>
  <c r="L22" i="15"/>
  <c r="F22" i="15"/>
  <c r="R21" i="15"/>
  <c r="L21" i="15"/>
  <c r="F21" i="15"/>
  <c r="R20" i="15"/>
  <c r="L20" i="15"/>
  <c r="F20" i="15"/>
  <c r="R19" i="15"/>
  <c r="L19" i="15"/>
  <c r="F19" i="15"/>
  <c r="R18" i="15"/>
  <c r="L18" i="15"/>
  <c r="F18" i="15"/>
  <c r="R17" i="15"/>
  <c r="L17" i="15"/>
  <c r="F17" i="15"/>
  <c r="R16" i="15"/>
  <c r="L16" i="15"/>
  <c r="F16" i="15"/>
  <c r="R15" i="15"/>
  <c r="L15" i="15"/>
  <c r="F15" i="15"/>
  <c r="R14" i="15"/>
  <c r="L14" i="15"/>
  <c r="F14" i="15"/>
  <c r="R13" i="15"/>
  <c r="L13" i="15"/>
  <c r="F13" i="15"/>
  <c r="R12" i="15"/>
  <c r="L12" i="15"/>
  <c r="F12" i="15"/>
  <c r="R11" i="15"/>
  <c r="L11" i="15"/>
  <c r="F11" i="15"/>
  <c r="R10" i="15"/>
  <c r="L10" i="15"/>
  <c r="F10" i="15"/>
  <c r="R9" i="15"/>
  <c r="L9" i="15"/>
  <c r="F9" i="15"/>
  <c r="R8" i="15"/>
  <c r="L8" i="15"/>
  <c r="F8" i="15"/>
  <c r="R7" i="15"/>
  <c r="L7" i="15"/>
  <c r="F7" i="15"/>
  <c r="R6" i="15"/>
  <c r="L6" i="15"/>
  <c r="F6" i="15"/>
  <c r="R5" i="15"/>
  <c r="L5" i="15"/>
  <c r="F5" i="15"/>
  <c r="R4" i="15"/>
  <c r="L4" i="15"/>
  <c r="F4" i="15"/>
  <c r="R3" i="15"/>
  <c r="L3" i="15"/>
  <c r="F3" i="15"/>
  <c r="F2" i="11"/>
  <c r="C42" i="10"/>
  <c r="C40" i="10"/>
  <c r="C39" i="10"/>
  <c r="C37" i="10"/>
  <c r="C36" i="10"/>
  <c r="C35" i="10"/>
  <c r="C32" i="10"/>
  <c r="C30" i="10"/>
  <c r="C29" i="10"/>
  <c r="D28" i="10"/>
  <c r="C28" i="10"/>
  <c r="D27" i="10"/>
  <c r="C27" i="10"/>
  <c r="D26" i="10"/>
  <c r="C26" i="10"/>
  <c r="D25" i="10"/>
  <c r="C25" i="10"/>
  <c r="D24" i="10"/>
  <c r="C24" i="10"/>
  <c r="D23" i="10"/>
  <c r="C23" i="10"/>
  <c r="D22" i="10"/>
  <c r="D21" i="10"/>
  <c r="C21" i="10"/>
  <c r="D20" i="10"/>
  <c r="C20" i="10"/>
  <c r="D19" i="10"/>
  <c r="C19" i="10"/>
  <c r="D18" i="10"/>
  <c r="C18" i="10"/>
  <c r="D17" i="10"/>
  <c r="C17" i="10"/>
  <c r="D16" i="10"/>
  <c r="C16" i="10"/>
  <c r="D15" i="10"/>
  <c r="C15" i="10"/>
  <c r="D13" i="10"/>
  <c r="C13" i="10"/>
  <c r="D12" i="10"/>
  <c r="C12" i="10"/>
  <c r="D11" i="10"/>
  <c r="C11" i="10"/>
  <c r="D10" i="10"/>
  <c r="C10" i="10"/>
  <c r="C4" i="10"/>
  <c r="B2" i="10"/>
  <c r="G164" i="2"/>
  <c r="F164" i="2"/>
  <c r="E164" i="2"/>
  <c r="D164" i="2"/>
  <c r="C164" i="2"/>
  <c r="B164" i="2"/>
  <c r="G163" i="2"/>
  <c r="F163" i="2"/>
  <c r="E163" i="2"/>
  <c r="D163" i="2"/>
  <c r="C163" i="2"/>
  <c r="B163" i="2"/>
  <c r="G162" i="2"/>
  <c r="F162" i="2"/>
  <c r="E162" i="2"/>
  <c r="D162" i="2"/>
  <c r="C162" i="2"/>
  <c r="B162" i="2"/>
  <c r="G161" i="2"/>
  <c r="F161" i="2"/>
  <c r="E161" i="2"/>
  <c r="D161" i="2"/>
  <c r="C161" i="2"/>
  <c r="B161" i="2"/>
  <c r="G160" i="2"/>
  <c r="F160" i="2"/>
  <c r="E160" i="2"/>
  <c r="D160" i="2"/>
  <c r="C160" i="2"/>
  <c r="B160" i="2"/>
  <c r="G159" i="2"/>
  <c r="F159" i="2"/>
  <c r="E159" i="2"/>
  <c r="D159" i="2"/>
  <c r="C159" i="2"/>
  <c r="B159" i="2"/>
  <c r="G158" i="2"/>
  <c r="F158" i="2"/>
  <c r="E158" i="2"/>
  <c r="D158" i="2"/>
  <c r="C158" i="2"/>
  <c r="B158" i="2"/>
  <c r="G157" i="2"/>
  <c r="F157" i="2"/>
  <c r="E157" i="2"/>
  <c r="D157" i="2"/>
  <c r="C157" i="2"/>
  <c r="B157" i="2"/>
  <c r="G156" i="2"/>
  <c r="F156" i="2"/>
  <c r="E156" i="2"/>
  <c r="D156" i="2"/>
  <c r="C156" i="2"/>
  <c r="B156" i="2"/>
  <c r="F155" i="2"/>
  <c r="E155" i="2"/>
  <c r="D155" i="2"/>
  <c r="C155" i="2"/>
  <c r="B155" i="2"/>
  <c r="F154" i="2"/>
  <c r="E154" i="2"/>
  <c r="D154" i="2"/>
  <c r="C154" i="2"/>
  <c r="B154" i="2"/>
  <c r="F153" i="2"/>
  <c r="E153" i="2"/>
  <c r="D153" i="2"/>
  <c r="C153" i="2"/>
  <c r="B153" i="2"/>
  <c r="F152" i="2"/>
  <c r="E152" i="2"/>
  <c r="D152" i="2"/>
  <c r="C152" i="2"/>
  <c r="B152" i="2"/>
  <c r="F151" i="2"/>
  <c r="E151" i="2"/>
  <c r="D151" i="2"/>
  <c r="C151" i="2"/>
  <c r="B151" i="2"/>
  <c r="G145" i="2"/>
  <c r="E145" i="2"/>
  <c r="D145" i="2"/>
  <c r="C145" i="2"/>
  <c r="G144" i="2"/>
  <c r="E144" i="2"/>
  <c r="D144" i="2"/>
  <c r="C144" i="2"/>
  <c r="E143" i="2"/>
  <c r="C143" i="2"/>
  <c r="E142" i="2"/>
  <c r="C142" i="2"/>
  <c r="C141" i="2"/>
  <c r="C140" i="2"/>
  <c r="C139" i="2"/>
  <c r="C138" i="2"/>
  <c r="E137" i="2"/>
  <c r="C137" i="2"/>
  <c r="C136" i="2"/>
  <c r="E135" i="2"/>
  <c r="C135" i="2"/>
  <c r="G134" i="2"/>
  <c r="F134" i="2"/>
  <c r="E134" i="2"/>
  <c r="D134" i="2"/>
  <c r="E132" i="2"/>
  <c r="C132" i="2"/>
  <c r="E131" i="2"/>
  <c r="C131" i="2"/>
  <c r="F130" i="2"/>
  <c r="F144" i="2" s="1"/>
  <c r="F145" i="2" s="1"/>
  <c r="E130" i="2"/>
  <c r="C130" i="2"/>
  <c r="G128" i="2"/>
  <c r="F128" i="2"/>
  <c r="E128" i="2"/>
  <c r="D128" i="2"/>
  <c r="C128" i="2"/>
  <c r="D127" i="2"/>
  <c r="E125" i="2"/>
  <c r="C125" i="2"/>
  <c r="E124" i="2"/>
  <c r="C124" i="2"/>
  <c r="E123" i="2"/>
  <c r="C123" i="2"/>
  <c r="E122" i="2"/>
  <c r="C122" i="2"/>
  <c r="E121" i="2"/>
  <c r="C121" i="2"/>
  <c r="E120" i="2"/>
  <c r="C120" i="2"/>
  <c r="E119" i="2"/>
  <c r="C119" i="2"/>
  <c r="E118" i="2"/>
  <c r="C118" i="2"/>
  <c r="G115" i="2"/>
  <c r="F115" i="2"/>
  <c r="E115" i="2"/>
  <c r="D115" i="2"/>
  <c r="C115" i="2"/>
  <c r="E114" i="2"/>
  <c r="C114" i="2"/>
  <c r="E113" i="2"/>
  <c r="C113" i="2"/>
  <c r="E112" i="2"/>
  <c r="C112" i="2"/>
  <c r="E111" i="2"/>
  <c r="C111" i="2"/>
  <c r="E110" i="2"/>
  <c r="C110" i="2"/>
  <c r="E109" i="2"/>
  <c r="C109" i="2"/>
  <c r="G104" i="2"/>
  <c r="F104" i="2"/>
  <c r="E104" i="2"/>
  <c r="D104" i="2"/>
  <c r="G103" i="2"/>
  <c r="F103" i="2"/>
  <c r="E103" i="2"/>
  <c r="D103" i="2"/>
  <c r="C103" i="2"/>
  <c r="F102" i="2"/>
  <c r="E102" i="2"/>
  <c r="D102" i="2"/>
  <c r="C102" i="2"/>
  <c r="F101" i="2"/>
  <c r="E101" i="2"/>
  <c r="D101" i="2"/>
  <c r="C101" i="2"/>
  <c r="F100" i="2"/>
  <c r="E100" i="2"/>
  <c r="D100" i="2"/>
  <c r="C100" i="2"/>
  <c r="F99" i="2"/>
  <c r="E99" i="2"/>
  <c r="D99" i="2"/>
  <c r="C99" i="2"/>
  <c r="G98" i="2"/>
  <c r="E98" i="2"/>
  <c r="D98" i="2"/>
  <c r="C98" i="2"/>
  <c r="G97" i="2"/>
  <c r="F97" i="2"/>
  <c r="E97" i="2"/>
  <c r="D97" i="2"/>
  <c r="C97" i="2"/>
  <c r="G96" i="2"/>
  <c r="F96" i="2"/>
  <c r="E96" i="2"/>
  <c r="D96" i="2"/>
  <c r="F94" i="2"/>
  <c r="C94" i="2"/>
  <c r="F93" i="2"/>
  <c r="C93" i="2"/>
  <c r="F91" i="2"/>
  <c r="E91" i="2"/>
  <c r="D91" i="2"/>
  <c r="C91" i="2"/>
  <c r="C90" i="2"/>
  <c r="F89" i="2"/>
  <c r="E89" i="2"/>
  <c r="D89" i="2"/>
  <c r="C89" i="2"/>
  <c r="F88" i="2"/>
  <c r="E88" i="2"/>
  <c r="D88" i="2"/>
  <c r="C88" i="2"/>
  <c r="F87" i="2"/>
  <c r="E87" i="2"/>
  <c r="C87" i="2"/>
  <c r="F85" i="2"/>
  <c r="E85" i="2"/>
  <c r="D85" i="2"/>
  <c r="C85" i="2"/>
  <c r="G81" i="2"/>
  <c r="F81" i="2"/>
  <c r="E81" i="2"/>
  <c r="D81" i="2"/>
  <c r="E80" i="2"/>
  <c r="C80" i="2"/>
  <c r="E79" i="2"/>
  <c r="D79" i="2"/>
  <c r="C79" i="2"/>
  <c r="G78" i="2"/>
  <c r="F78" i="2"/>
  <c r="E78" i="2"/>
  <c r="D78" i="2"/>
  <c r="C78" i="2"/>
  <c r="G77" i="2"/>
  <c r="F77" i="2"/>
  <c r="E77" i="2"/>
  <c r="D77" i="2"/>
  <c r="C77" i="2"/>
  <c r="F76" i="2"/>
  <c r="E76" i="2"/>
  <c r="C76" i="2"/>
  <c r="C75" i="2"/>
  <c r="C74" i="2"/>
  <c r="F73" i="2"/>
  <c r="C73" i="2"/>
  <c r="F72" i="2"/>
  <c r="C72" i="2"/>
  <c r="G70" i="2"/>
  <c r="F70" i="2"/>
  <c r="E70" i="2"/>
  <c r="D70" i="2"/>
  <c r="C70" i="2"/>
  <c r="C81" i="2" s="1"/>
  <c r="C104" i="2" s="1"/>
  <c r="G69" i="2"/>
  <c r="F69" i="2"/>
  <c r="E69" i="2"/>
  <c r="D69" i="2"/>
  <c r="C69" i="2"/>
  <c r="C68" i="2"/>
  <c r="C67" i="2"/>
  <c r="C66" i="2"/>
  <c r="G63" i="2"/>
  <c r="F63" i="2"/>
  <c r="E63" i="2"/>
  <c r="D63" i="2"/>
  <c r="C63" i="2"/>
  <c r="G62" i="2"/>
  <c r="F62" i="2"/>
  <c r="E62" i="2"/>
  <c r="D62" i="2"/>
  <c r="C62" i="2"/>
  <c r="G61" i="2"/>
  <c r="F61" i="2"/>
  <c r="E61" i="2"/>
  <c r="D61" i="2"/>
  <c r="C61" i="2"/>
  <c r="D60" i="2"/>
  <c r="G59" i="2"/>
  <c r="F59" i="2"/>
  <c r="E59" i="2"/>
  <c r="D59" i="2"/>
  <c r="C59" i="2"/>
  <c r="E58" i="2"/>
  <c r="C58" i="2"/>
  <c r="E57" i="2"/>
  <c r="C57" i="2"/>
  <c r="G56" i="2"/>
  <c r="F56" i="2"/>
  <c r="E56" i="2"/>
  <c r="D56" i="2"/>
  <c r="C56" i="2"/>
  <c r="G51" i="2"/>
  <c r="F51" i="2"/>
  <c r="E51" i="2"/>
  <c r="D51" i="2"/>
  <c r="C51" i="2"/>
  <c r="G50" i="2"/>
  <c r="F50" i="2"/>
  <c r="E50" i="2"/>
  <c r="D50" i="2"/>
  <c r="C50" i="2"/>
  <c r="C49" i="2"/>
  <c r="G48" i="2"/>
  <c r="F48" i="2"/>
  <c r="E48" i="2"/>
  <c r="D48" i="2"/>
  <c r="C48" i="2"/>
  <c r="G47" i="2"/>
  <c r="F47" i="2"/>
  <c r="E47" i="2"/>
  <c r="D47" i="2"/>
  <c r="C47" i="2"/>
  <c r="C45" i="2"/>
  <c r="G44" i="2"/>
  <c r="F44" i="2"/>
  <c r="E44" i="2"/>
  <c r="D44" i="2"/>
  <c r="C44" i="2"/>
  <c r="F43" i="2"/>
  <c r="E43" i="2"/>
  <c r="D43" i="2"/>
  <c r="C43" i="2"/>
  <c r="G42" i="2"/>
  <c r="F42" i="2"/>
  <c r="E42" i="2"/>
  <c r="D42" i="2"/>
  <c r="C42" i="2"/>
  <c r="F40" i="2"/>
  <c r="D39" i="2"/>
  <c r="G38" i="2"/>
  <c r="F38" i="2"/>
  <c r="E38" i="2"/>
  <c r="D38" i="2"/>
  <c r="C38" i="2"/>
  <c r="G36" i="2"/>
  <c r="F36" i="2"/>
  <c r="E36" i="2"/>
  <c r="D36" i="2"/>
  <c r="C36" i="2"/>
  <c r="F35" i="2"/>
  <c r="E35" i="2"/>
  <c r="D35" i="2"/>
  <c r="C35" i="2"/>
  <c r="F34" i="2"/>
  <c r="E34" i="2"/>
  <c r="D34" i="2"/>
  <c r="C34" i="2"/>
  <c r="G31" i="2"/>
  <c r="F31" i="2"/>
  <c r="E31" i="2"/>
  <c r="D31" i="2"/>
  <c r="C31" i="2"/>
  <c r="G30" i="2"/>
  <c r="F30" i="2"/>
  <c r="E30" i="2"/>
  <c r="D30" i="2"/>
  <c r="C30" i="2"/>
  <c r="F29" i="2"/>
  <c r="E29" i="2"/>
  <c r="D29" i="2"/>
  <c r="C29" i="2"/>
  <c r="F28" i="2"/>
  <c r="E28" i="2"/>
  <c r="D28" i="2"/>
  <c r="C28" i="2"/>
  <c r="F27" i="2"/>
  <c r="E27" i="2"/>
  <c r="D27" i="2"/>
  <c r="C27" i="2"/>
  <c r="F26" i="2"/>
  <c r="C26" i="2"/>
  <c r="F25" i="2"/>
  <c r="C25" i="2"/>
  <c r="F24" i="2"/>
  <c r="E24" i="2"/>
  <c r="D24" i="2"/>
  <c r="C24" i="2"/>
  <c r="G23" i="2"/>
  <c r="F23" i="2"/>
  <c r="E23" i="2"/>
  <c r="D23" i="2"/>
  <c r="C23" i="2"/>
  <c r="G22" i="2"/>
  <c r="F22" i="2"/>
  <c r="E22" i="2"/>
  <c r="D22" i="2"/>
  <c r="C22" i="2"/>
  <c r="G21" i="2"/>
  <c r="F21" i="2"/>
  <c r="E21" i="2"/>
  <c r="D21" i="2"/>
  <c r="C21" i="2"/>
  <c r="G18" i="2"/>
  <c r="F18" i="2"/>
  <c r="E18" i="2"/>
  <c r="D18" i="2"/>
  <c r="C18" i="2"/>
  <c r="G17" i="2"/>
  <c r="F17" i="2"/>
  <c r="E17" i="2"/>
  <c r="D17" i="2"/>
  <c r="C17" i="2"/>
  <c r="G16" i="2"/>
  <c r="F16" i="2"/>
  <c r="E16" i="2"/>
  <c r="D16" i="2"/>
  <c r="C16" i="2"/>
  <c r="F15" i="2"/>
  <c r="E15" i="2"/>
  <c r="D15" i="2"/>
  <c r="C15" i="2"/>
  <c r="F14" i="2"/>
  <c r="G13" i="2"/>
  <c r="F13" i="2"/>
  <c r="E13" i="2"/>
  <c r="D13" i="2"/>
  <c r="C13" i="2"/>
  <c r="G12" i="2"/>
  <c r="F12" i="2"/>
  <c r="E12" i="2"/>
  <c r="D12" i="2"/>
  <c r="C12" i="2"/>
  <c r="G11" i="2"/>
  <c r="F11" i="2"/>
  <c r="E11" i="2"/>
  <c r="D11" i="2"/>
  <c r="C11" i="2"/>
  <c r="C10" i="2"/>
  <c r="G9" i="2"/>
  <c r="F9" i="2"/>
  <c r="E9" i="2"/>
  <c r="D9" i="2"/>
  <c r="C9" i="2"/>
  <c r="G8" i="2"/>
  <c r="F8" i="2"/>
  <c r="E8" i="2"/>
  <c r="D8" i="2"/>
  <c r="C8" i="2"/>
  <c r="A2" i="2"/>
  <c r="A1" i="2"/>
  <c r="E43" i="14"/>
  <c r="D43" i="14"/>
  <c r="F42" i="14"/>
  <c r="C42" i="14"/>
  <c r="C42" i="14" a="1"/>
  <c r="B42" i="14"/>
  <c r="F41" i="14"/>
  <c r="C41" i="14"/>
  <c r="C41" i="14" a="1"/>
  <c r="B41" i="14"/>
  <c r="F40" i="14"/>
  <c r="C40" i="14"/>
  <c r="C40" i="14" a="1"/>
  <c r="B40" i="14"/>
  <c r="F39" i="14"/>
  <c r="C39" i="14"/>
  <c r="C39" i="14" a="1"/>
  <c r="B39" i="14"/>
  <c r="F38" i="14"/>
  <c r="D38" i="14"/>
  <c r="C38" i="14"/>
  <c r="C38" i="14" a="1"/>
  <c r="B38" i="14"/>
  <c r="F37" i="14"/>
  <c r="D37" i="14"/>
  <c r="C37" i="14"/>
  <c r="C37" i="14" a="1"/>
  <c r="B37" i="14"/>
  <c r="I36" i="14"/>
  <c r="H36" i="14"/>
  <c r="G36" i="14"/>
  <c r="F36" i="14"/>
  <c r="E33" i="14"/>
  <c r="D33" i="14"/>
  <c r="F32" i="14"/>
  <c r="C32" i="14"/>
  <c r="C32" i="14" a="1"/>
  <c r="B32" i="14"/>
  <c r="F31" i="14"/>
  <c r="C31" i="14"/>
  <c r="C31" i="14" a="1"/>
  <c r="B31" i="14"/>
  <c r="F30" i="14"/>
  <c r="C30" i="14"/>
  <c r="C30" i="14" a="1"/>
  <c r="B30" i="14"/>
  <c r="F29" i="14"/>
  <c r="C29" i="14"/>
  <c r="C29" i="14" a="1"/>
  <c r="B29" i="14"/>
  <c r="F28" i="14"/>
  <c r="C28" i="14"/>
  <c r="C28" i="14" a="1"/>
  <c r="B28" i="14"/>
  <c r="F27" i="14"/>
  <c r="C27" i="14"/>
  <c r="C27" i="14" a="1"/>
  <c r="B27" i="14"/>
  <c r="F26" i="14"/>
  <c r="D26" i="14"/>
  <c r="C26" i="14"/>
  <c r="C26" i="14" a="1"/>
  <c r="B26" i="14"/>
  <c r="F25" i="14"/>
  <c r="D25" i="14"/>
  <c r="C25" i="14"/>
  <c r="C25" i="14" a="1"/>
  <c r="B25" i="14"/>
  <c r="I24" i="14"/>
  <c r="H24" i="14"/>
  <c r="G24" i="14"/>
  <c r="F24" i="14"/>
  <c r="E21" i="14"/>
  <c r="D21" i="14"/>
  <c r="F20" i="14"/>
  <c r="C20" i="14"/>
  <c r="B20" i="14"/>
  <c r="F19" i="14"/>
  <c r="C19" i="14"/>
  <c r="B19" i="14"/>
  <c r="F18" i="14"/>
  <c r="C18" i="14"/>
  <c r="B18" i="14"/>
  <c r="F17" i="14"/>
  <c r="C17" i="14"/>
  <c r="B17" i="14"/>
  <c r="F16" i="14"/>
  <c r="C16" i="14"/>
  <c r="B16" i="14"/>
  <c r="F15" i="14"/>
  <c r="C15" i="14"/>
  <c r="B15" i="14"/>
  <c r="F14" i="14"/>
  <c r="C14" i="14"/>
  <c r="B14" i="14"/>
  <c r="F13" i="14"/>
  <c r="C13" i="14"/>
  <c r="B13" i="14"/>
  <c r="F12" i="14"/>
  <c r="C12" i="14"/>
  <c r="B12" i="14"/>
  <c r="F11" i="14"/>
  <c r="C11" i="14"/>
  <c r="B11" i="14"/>
  <c r="F10" i="14"/>
  <c r="C10" i="14"/>
  <c r="B10" i="14"/>
  <c r="F9" i="14"/>
  <c r="E9" i="14"/>
  <c r="D9" i="14"/>
  <c r="C9" i="14"/>
  <c r="B9" i="14"/>
  <c r="F8" i="14"/>
  <c r="E8" i="14"/>
  <c r="C8" i="14"/>
  <c r="B8" i="14"/>
  <c r="F7" i="14"/>
  <c r="C7" i="14"/>
  <c r="B7" i="14"/>
  <c r="F6" i="14"/>
  <c r="C6" i="14"/>
  <c r="B6" i="14"/>
  <c r="F5" i="14"/>
  <c r="C5" i="14"/>
  <c r="B5" i="14"/>
  <c r="G4" i="14"/>
  <c r="B2" i="14"/>
  <c r="A2" i="14"/>
  <c r="D39" i="13"/>
  <c r="G36" i="13"/>
  <c r="D36" i="13"/>
  <c r="D35" i="13"/>
  <c r="I33" i="13"/>
  <c r="H33" i="13"/>
  <c r="G33" i="13"/>
  <c r="F33" i="13"/>
  <c r="E33" i="13"/>
  <c r="D33" i="13"/>
  <c r="H31" i="13"/>
  <c r="G31" i="13"/>
  <c r="D31" i="13"/>
  <c r="C31" i="13"/>
  <c r="H29" i="13"/>
  <c r="G29" i="13"/>
  <c r="D29" i="13"/>
  <c r="C29" i="13"/>
  <c r="I25" i="13"/>
  <c r="C25" i="13"/>
  <c r="G22" i="13"/>
  <c r="C22" i="13"/>
  <c r="H19" i="13"/>
  <c r="G19" i="13"/>
  <c r="D19" i="13"/>
  <c r="C19" i="13"/>
  <c r="H18" i="13"/>
  <c r="G18" i="13"/>
  <c r="D18" i="13"/>
  <c r="C18" i="13"/>
  <c r="H17" i="13"/>
  <c r="G17" i="13"/>
  <c r="D17" i="13"/>
  <c r="C17" i="13"/>
  <c r="H16" i="13"/>
  <c r="G16" i="13"/>
  <c r="E16" i="13"/>
  <c r="C16" i="13"/>
  <c r="H15" i="13"/>
  <c r="G15" i="13"/>
  <c r="D15" i="13"/>
  <c r="C15" i="13"/>
  <c r="H14" i="13"/>
  <c r="G14" i="13"/>
  <c r="D14" i="13"/>
  <c r="C14" i="13"/>
  <c r="H13" i="13"/>
  <c r="G13" i="13"/>
  <c r="E13" i="13"/>
  <c r="C13" i="13"/>
  <c r="H12" i="13"/>
  <c r="G12" i="13"/>
  <c r="D12" i="13"/>
  <c r="C12" i="13"/>
  <c r="C11" i="13"/>
  <c r="C10" i="13"/>
  <c r="C9" i="13"/>
  <c r="H8" i="13"/>
  <c r="G8" i="13"/>
  <c r="E8" i="13"/>
  <c r="C8" i="13"/>
  <c r="H7" i="13"/>
  <c r="G7" i="13"/>
  <c r="D7" i="13"/>
  <c r="C7" i="13"/>
  <c r="H6" i="13"/>
  <c r="G6" i="13"/>
  <c r="D6" i="13"/>
  <c r="C6" i="13"/>
  <c r="H5" i="13"/>
  <c r="G5" i="13"/>
  <c r="D5" i="13"/>
  <c r="C5" i="13"/>
  <c r="B2" i="13"/>
  <c r="C40" i="12"/>
  <c r="B40" i="12"/>
  <c r="A40" i="12"/>
  <c r="C37" i="12"/>
  <c r="B37" i="12"/>
  <c r="C36" i="12"/>
  <c r="B36" i="12"/>
  <c r="C31" i="12"/>
  <c r="B31" i="12"/>
  <c r="A31" i="12"/>
  <c r="C27" i="12"/>
  <c r="B27" i="12"/>
  <c r="C22" i="12"/>
  <c r="B22" i="12"/>
  <c r="A22" i="12"/>
  <c r="C21" i="12"/>
  <c r="B21" i="12"/>
  <c r="C20" i="12"/>
  <c r="B20" i="12"/>
  <c r="C19" i="12"/>
  <c r="B19" i="12"/>
  <c r="C18" i="12"/>
  <c r="B18" i="12"/>
  <c r="C13" i="12"/>
  <c r="B13" i="12"/>
  <c r="A13" i="12"/>
  <c r="C12" i="12"/>
  <c r="B12" i="12"/>
  <c r="C11" i="12"/>
  <c r="B11" i="12"/>
  <c r="C10" i="12"/>
  <c r="B10" i="12"/>
  <c r="C9" i="12"/>
  <c r="B9" i="12"/>
  <c r="B4" i="12"/>
  <c r="B1" i="12"/>
  <c r="B33" i="16"/>
  <c r="B31" i="16"/>
  <c r="B28" i="16"/>
  <c r="B27" i="16"/>
  <c r="B22" i="16"/>
  <c r="B19" i="16"/>
  <c r="B17" i="16"/>
  <c r="B14" i="16"/>
  <c r="B13" i="16"/>
  <c r="B12" i="16"/>
  <c r="B11" i="16"/>
  <c r="B10" i="16"/>
  <c r="B9" i="16"/>
  <c r="B5" i="16"/>
  <c r="H31" i="17"/>
  <c r="E7" i="17"/>
  <c r="H673" i="1"/>
  <c r="C6" i="10" s="1"/>
  <c r="G673" i="1"/>
  <c r="C5" i="10" s="1"/>
  <c r="F673" i="1"/>
  <c r="I671" i="1"/>
  <c r="I673" i="1" s="1"/>
  <c r="I670" i="1"/>
  <c r="H668" i="1"/>
  <c r="G668" i="1"/>
  <c r="F668" i="1"/>
  <c r="I666" i="1"/>
  <c r="I665" i="1"/>
  <c r="H665" i="1"/>
  <c r="G665" i="1"/>
  <c r="F665" i="1"/>
  <c r="I664" i="1"/>
  <c r="H664" i="1"/>
  <c r="G664" i="1"/>
  <c r="F664" i="1"/>
  <c r="I663" i="1"/>
  <c r="H663" i="1"/>
  <c r="G663" i="1"/>
  <c r="F663" i="1"/>
  <c r="I662" i="1"/>
  <c r="H662" i="1"/>
  <c r="G662" i="1"/>
  <c r="F662" i="1"/>
  <c r="I661" i="1"/>
  <c r="H661" i="1"/>
  <c r="G661" i="1"/>
  <c r="F661" i="1"/>
  <c r="J656" i="1"/>
  <c r="H656" i="1"/>
  <c r="G656" i="1"/>
  <c r="J655" i="1"/>
  <c r="H655" i="1"/>
  <c r="G655" i="1"/>
  <c r="J654" i="1"/>
  <c r="H654" i="1"/>
  <c r="G654" i="1"/>
  <c r="J653" i="1"/>
  <c r="H653" i="1"/>
  <c r="G653" i="1"/>
  <c r="J652" i="1"/>
  <c r="H652" i="1"/>
  <c r="G652" i="1"/>
  <c r="J651" i="1"/>
  <c r="H651" i="1"/>
  <c r="G651" i="1"/>
  <c r="J650" i="1"/>
  <c r="H650" i="1"/>
  <c r="G650" i="1"/>
  <c r="J649" i="1"/>
  <c r="H649" i="1"/>
  <c r="G649" i="1"/>
  <c r="J648" i="1"/>
  <c r="H648" i="1"/>
  <c r="G648" i="1"/>
  <c r="J647" i="1"/>
  <c r="H647" i="1"/>
  <c r="G647" i="1"/>
  <c r="J646" i="1"/>
  <c r="H646" i="1"/>
  <c r="G646" i="1"/>
  <c r="J645" i="1"/>
  <c r="H645" i="1"/>
  <c r="G645" i="1"/>
  <c r="J644" i="1"/>
  <c r="H644" i="1"/>
  <c r="G644" i="1"/>
  <c r="J643" i="1"/>
  <c r="H643" i="1"/>
  <c r="G643" i="1"/>
  <c r="J642" i="1"/>
  <c r="H642" i="1"/>
  <c r="G642" i="1"/>
  <c r="J641" i="1"/>
  <c r="H641" i="1"/>
  <c r="G641" i="1"/>
  <c r="J640" i="1"/>
  <c r="H640" i="1"/>
  <c r="G640" i="1"/>
  <c r="J639" i="1"/>
  <c r="H639" i="1"/>
  <c r="G639" i="1"/>
  <c r="J638" i="1"/>
  <c r="H638" i="1"/>
  <c r="G638" i="1"/>
  <c r="J637" i="1"/>
  <c r="H637" i="1"/>
  <c r="G637" i="1"/>
  <c r="J636" i="1"/>
  <c r="H636" i="1"/>
  <c r="G636" i="1"/>
  <c r="J635" i="1"/>
  <c r="H635" i="1"/>
  <c r="G635" i="1"/>
  <c r="J634" i="1"/>
  <c r="H634" i="1"/>
  <c r="G634" i="1"/>
  <c r="J633" i="1"/>
  <c r="H633" i="1"/>
  <c r="G633" i="1"/>
  <c r="J632" i="1"/>
  <c r="H632" i="1"/>
  <c r="G632" i="1"/>
  <c r="J631" i="1"/>
  <c r="H631" i="1"/>
  <c r="G631" i="1"/>
  <c r="J630" i="1"/>
  <c r="H630" i="1"/>
  <c r="G630" i="1"/>
  <c r="J629" i="1"/>
  <c r="H629" i="1"/>
  <c r="G629" i="1"/>
  <c r="H628" i="1"/>
  <c r="J627" i="1"/>
  <c r="H627" i="1"/>
  <c r="G627" i="1"/>
  <c r="J626" i="1"/>
  <c r="H626" i="1"/>
  <c r="G626" i="1"/>
  <c r="J625" i="1"/>
  <c r="H625" i="1"/>
  <c r="G625" i="1"/>
  <c r="J624" i="1"/>
  <c r="H624" i="1"/>
  <c r="G624" i="1"/>
  <c r="J623" i="1"/>
  <c r="H623" i="1"/>
  <c r="G623" i="1"/>
  <c r="J622" i="1"/>
  <c r="H622" i="1"/>
  <c r="G622" i="1"/>
  <c r="J621" i="1"/>
  <c r="H621" i="1"/>
  <c r="G621" i="1"/>
  <c r="J620" i="1"/>
  <c r="H620" i="1"/>
  <c r="G620" i="1"/>
  <c r="J619" i="1"/>
  <c r="H619" i="1"/>
  <c r="G619" i="1"/>
  <c r="J618" i="1"/>
  <c r="H618" i="1"/>
  <c r="G618" i="1"/>
  <c r="L615" i="1"/>
  <c r="K615" i="1"/>
  <c r="J615" i="1"/>
  <c r="I615" i="1"/>
  <c r="H615" i="1"/>
  <c r="G615" i="1"/>
  <c r="F615" i="1"/>
  <c r="L614" i="1"/>
  <c r="G614" i="1"/>
  <c r="F614" i="1"/>
  <c r="L613" i="1"/>
  <c r="L612" i="1"/>
  <c r="K606" i="1"/>
  <c r="J606" i="1"/>
  <c r="I606" i="1"/>
  <c r="H606" i="1"/>
  <c r="K605" i="1"/>
  <c r="J605" i="1"/>
  <c r="I605" i="1"/>
  <c r="H605" i="1"/>
  <c r="K604" i="1"/>
  <c r="K603" i="1"/>
  <c r="K599" i="1"/>
  <c r="J599" i="1"/>
  <c r="I599" i="1"/>
  <c r="H599" i="1"/>
  <c r="K598" i="1"/>
  <c r="K597" i="1"/>
  <c r="K596" i="1"/>
  <c r="K595" i="1"/>
  <c r="K594" i="1"/>
  <c r="K593" i="1"/>
  <c r="J593" i="1"/>
  <c r="I593" i="1"/>
  <c r="H593" i="1"/>
  <c r="K592" i="1"/>
  <c r="J592" i="1"/>
  <c r="I592" i="1"/>
  <c r="H592" i="1"/>
  <c r="I588" i="1"/>
  <c r="I587" i="1"/>
  <c r="I586" i="1"/>
  <c r="I585" i="1"/>
  <c r="H585" i="1"/>
  <c r="I584" i="1"/>
  <c r="I583" i="1"/>
  <c r="I582" i="1"/>
  <c r="I581" i="1"/>
  <c r="I580" i="1"/>
  <c r="I579" i="1"/>
  <c r="I578" i="1"/>
  <c r="I577" i="1"/>
  <c r="I576" i="1"/>
  <c r="L572" i="1"/>
  <c r="K572" i="1"/>
  <c r="J572" i="1"/>
  <c r="I572" i="1"/>
  <c r="H572" i="1"/>
  <c r="G572" i="1"/>
  <c r="F572" i="1"/>
  <c r="L571" i="1"/>
  <c r="K571" i="1"/>
  <c r="J571" i="1"/>
  <c r="I571" i="1"/>
  <c r="H571" i="1"/>
  <c r="G571" i="1"/>
  <c r="F571" i="1"/>
  <c r="L570" i="1"/>
  <c r="L569" i="1"/>
  <c r="L568" i="1"/>
  <c r="G568" i="1"/>
  <c r="L566" i="1"/>
  <c r="K566" i="1"/>
  <c r="J566" i="1"/>
  <c r="I566" i="1"/>
  <c r="H566" i="1"/>
  <c r="G566" i="1"/>
  <c r="F566" i="1"/>
  <c r="L565" i="1"/>
  <c r="I565" i="1"/>
  <c r="L564" i="1"/>
  <c r="I564" i="1"/>
  <c r="L563" i="1"/>
  <c r="I563" i="1"/>
  <c r="L561" i="1"/>
  <c r="K561" i="1"/>
  <c r="J561" i="1"/>
  <c r="I561" i="1"/>
  <c r="H561" i="1"/>
  <c r="G561" i="1"/>
  <c r="F561" i="1"/>
  <c r="L560" i="1"/>
  <c r="L559" i="1"/>
  <c r="L558" i="1"/>
  <c r="J553" i="1"/>
  <c r="I553" i="1"/>
  <c r="J552" i="1"/>
  <c r="I552" i="1"/>
  <c r="J551" i="1"/>
  <c r="I551" i="1"/>
  <c r="J550" i="1"/>
  <c r="I550" i="1"/>
  <c r="L545" i="1"/>
  <c r="K545" i="1"/>
  <c r="J545" i="1"/>
  <c r="I545" i="1"/>
  <c r="H545" i="1"/>
  <c r="G545" i="1"/>
  <c r="F545" i="1"/>
  <c r="L544" i="1"/>
  <c r="G544" i="1"/>
  <c r="F544" i="1"/>
  <c r="L543" i="1"/>
  <c r="G543" i="1"/>
  <c r="F543" i="1"/>
  <c r="L542" i="1"/>
  <c r="G542" i="1"/>
  <c r="F542" i="1"/>
  <c r="L540" i="1"/>
  <c r="K540" i="1"/>
  <c r="J540" i="1"/>
  <c r="I540" i="1"/>
  <c r="H540" i="1"/>
  <c r="G540" i="1"/>
  <c r="F540" i="1"/>
  <c r="L539" i="1"/>
  <c r="L538" i="1"/>
  <c r="L537" i="1"/>
  <c r="K535" i="1"/>
  <c r="K546" i="1" s="1"/>
  <c r="J535" i="1"/>
  <c r="I535" i="1"/>
  <c r="H535" i="1"/>
  <c r="G535" i="1"/>
  <c r="F535" i="1"/>
  <c r="L534" i="1"/>
  <c r="H552" i="1" s="1"/>
  <c r="L533" i="1"/>
  <c r="H551" i="1" s="1"/>
  <c r="L532" i="1"/>
  <c r="H550" i="1" s="1"/>
  <c r="K530" i="1"/>
  <c r="J530" i="1"/>
  <c r="I530" i="1"/>
  <c r="H530" i="1"/>
  <c r="G530" i="1"/>
  <c r="F530" i="1"/>
  <c r="L529" i="1"/>
  <c r="G552" i="1" s="1"/>
  <c r="L528" i="1"/>
  <c r="G551" i="1" s="1"/>
  <c r="L527" i="1"/>
  <c r="K525" i="1"/>
  <c r="J525" i="1"/>
  <c r="I525" i="1"/>
  <c r="H525" i="1"/>
  <c r="G525" i="1"/>
  <c r="F525" i="1"/>
  <c r="L524" i="1"/>
  <c r="F552" i="1" s="1"/>
  <c r="L523" i="1"/>
  <c r="F551" i="1" s="1"/>
  <c r="L522" i="1"/>
  <c r="I518" i="1"/>
  <c r="H518" i="1"/>
  <c r="G518" i="1"/>
  <c r="F518" i="1"/>
  <c r="K504" i="1"/>
  <c r="J504" i="1"/>
  <c r="I504" i="1"/>
  <c r="H504" i="1"/>
  <c r="G504" i="1"/>
  <c r="F504" i="1"/>
  <c r="K503" i="1"/>
  <c r="K502" i="1"/>
  <c r="K501" i="1"/>
  <c r="J501" i="1"/>
  <c r="I501" i="1"/>
  <c r="H501" i="1"/>
  <c r="G501" i="1"/>
  <c r="F501" i="1"/>
  <c r="K500" i="1"/>
  <c r="K499" i="1"/>
  <c r="K498" i="1"/>
  <c r="K497" i="1"/>
  <c r="K496" i="1"/>
  <c r="J477" i="1"/>
  <c r="I477" i="1"/>
  <c r="H477" i="1"/>
  <c r="G477" i="1"/>
  <c r="F477" i="1"/>
  <c r="J475" i="1"/>
  <c r="I475" i="1"/>
  <c r="H475" i="1"/>
  <c r="G475" i="1"/>
  <c r="F475" i="1"/>
  <c r="H473" i="1"/>
  <c r="G473" i="1"/>
  <c r="F473" i="1"/>
  <c r="J471" i="1"/>
  <c r="I471" i="1"/>
  <c r="H471" i="1"/>
  <c r="G471" i="1"/>
  <c r="F471" i="1"/>
  <c r="F470" i="1"/>
  <c r="H469" i="1"/>
  <c r="G469" i="1"/>
  <c r="F469" i="1"/>
  <c r="I462" i="1"/>
  <c r="H462" i="1"/>
  <c r="G462" i="1"/>
  <c r="F462" i="1"/>
  <c r="I461" i="1"/>
  <c r="H461" i="1"/>
  <c r="G461" i="1"/>
  <c r="F461" i="1"/>
  <c r="I460" i="1"/>
  <c r="I459" i="1"/>
  <c r="I458" i="1"/>
  <c r="I457" i="1"/>
  <c r="I456" i="1"/>
  <c r="I455" i="1"/>
  <c r="I453" i="1"/>
  <c r="H453" i="1"/>
  <c r="G453" i="1"/>
  <c r="F453" i="1"/>
  <c r="I452" i="1"/>
  <c r="I451" i="1"/>
  <c r="I450" i="1"/>
  <c r="I449" i="1"/>
  <c r="I447" i="1"/>
  <c r="H447" i="1"/>
  <c r="G447" i="1"/>
  <c r="F447" i="1"/>
  <c r="I446" i="1"/>
  <c r="I445" i="1"/>
  <c r="I444" i="1"/>
  <c r="I443" i="1"/>
  <c r="I442" i="1"/>
  <c r="I441" i="1"/>
  <c r="I440" i="1"/>
  <c r="L435" i="1"/>
  <c r="K435" i="1"/>
  <c r="J435" i="1"/>
  <c r="I435" i="1"/>
  <c r="H435" i="1"/>
  <c r="G435" i="1"/>
  <c r="F435" i="1"/>
  <c r="L434" i="1"/>
  <c r="K434" i="1"/>
  <c r="J434" i="1"/>
  <c r="I434" i="1"/>
  <c r="H434" i="1"/>
  <c r="G434" i="1"/>
  <c r="F434" i="1"/>
  <c r="L433" i="1"/>
  <c r="L432" i="1"/>
  <c r="L431" i="1"/>
  <c r="L430" i="1"/>
  <c r="L428" i="1"/>
  <c r="K428" i="1"/>
  <c r="J428" i="1"/>
  <c r="I428" i="1"/>
  <c r="H428" i="1"/>
  <c r="G428" i="1"/>
  <c r="F428" i="1"/>
  <c r="L427" i="1"/>
  <c r="L426" i="1"/>
  <c r="L425" i="1"/>
  <c r="L424" i="1"/>
  <c r="L423" i="1"/>
  <c r="L422" i="1"/>
  <c r="L420" i="1"/>
  <c r="K420" i="1"/>
  <c r="J420" i="1"/>
  <c r="I420" i="1"/>
  <c r="H420" i="1"/>
  <c r="G420" i="1"/>
  <c r="F420" i="1"/>
  <c r="L419" i="1"/>
  <c r="L418" i="1"/>
  <c r="L417" i="1"/>
  <c r="L416" i="1"/>
  <c r="L415" i="1"/>
  <c r="L414" i="1"/>
  <c r="L409" i="1"/>
  <c r="I409" i="1"/>
  <c r="H409" i="1"/>
  <c r="G409" i="1"/>
  <c r="F409" i="1"/>
  <c r="L408" i="1"/>
  <c r="I408" i="1"/>
  <c r="H408" i="1"/>
  <c r="G408" i="1"/>
  <c r="F408" i="1"/>
  <c r="L407" i="1"/>
  <c r="L406" i="1"/>
  <c r="L405" i="1"/>
  <c r="L404" i="1"/>
  <c r="L402" i="1"/>
  <c r="I402" i="1"/>
  <c r="H402" i="1"/>
  <c r="G402" i="1"/>
  <c r="F402" i="1"/>
  <c r="L401" i="1"/>
  <c r="L400" i="1"/>
  <c r="L399" i="1"/>
  <c r="L398" i="1"/>
  <c r="L397" i="1"/>
  <c r="L396" i="1"/>
  <c r="L394" i="1"/>
  <c r="I394" i="1"/>
  <c r="H394" i="1"/>
  <c r="G394" i="1"/>
  <c r="F394" i="1"/>
  <c r="L393" i="1"/>
  <c r="L392" i="1"/>
  <c r="L391" i="1"/>
  <c r="L390" i="1"/>
  <c r="L389" i="1"/>
  <c r="L388" i="1"/>
  <c r="L383" i="1"/>
  <c r="K383" i="1"/>
  <c r="J383" i="1"/>
  <c r="I383" i="1"/>
  <c r="H383" i="1"/>
  <c r="G383" i="1"/>
  <c r="F383" i="1"/>
  <c r="L382" i="1"/>
  <c r="L381" i="1"/>
  <c r="L380" i="1"/>
  <c r="L379" i="1"/>
  <c r="L378" i="1"/>
  <c r="L377" i="1"/>
  <c r="L376" i="1"/>
  <c r="L375" i="1"/>
  <c r="I370" i="1"/>
  <c r="H370" i="1"/>
  <c r="G370" i="1"/>
  <c r="F370" i="1"/>
  <c r="I369" i="1"/>
  <c r="H369" i="1"/>
  <c r="G369" i="1"/>
  <c r="F369" i="1"/>
  <c r="I368" i="1"/>
  <c r="H368" i="1"/>
  <c r="G368" i="1"/>
  <c r="F368" i="1"/>
  <c r="L363" i="1"/>
  <c r="K363" i="1"/>
  <c r="J363" i="1"/>
  <c r="I363" i="1"/>
  <c r="H363" i="1"/>
  <c r="G363" i="1"/>
  <c r="F363" i="1"/>
  <c r="L362" i="1"/>
  <c r="K362" i="1"/>
  <c r="L361" i="1"/>
  <c r="I361" i="1"/>
  <c r="H361" i="1"/>
  <c r="G361" i="1"/>
  <c r="F361" i="1"/>
  <c r="L360" i="1"/>
  <c r="I360" i="1"/>
  <c r="H360" i="1"/>
  <c r="G360" i="1"/>
  <c r="F360" i="1"/>
  <c r="L359" i="1"/>
  <c r="J359" i="1"/>
  <c r="I359" i="1"/>
  <c r="H359" i="1"/>
  <c r="G359" i="1"/>
  <c r="F359" i="1"/>
  <c r="L353" i="1"/>
  <c r="K353" i="1"/>
  <c r="J353" i="1"/>
  <c r="I353" i="1"/>
  <c r="H353" i="1"/>
  <c r="G353" i="1"/>
  <c r="F353" i="1"/>
  <c r="L352" i="1"/>
  <c r="K352" i="1"/>
  <c r="L351" i="1"/>
  <c r="L350" i="1"/>
  <c r="L348" i="1"/>
  <c r="L347" i="1"/>
  <c r="L346" i="1"/>
  <c r="L345" i="1"/>
  <c r="L343" i="1"/>
  <c r="L342" i="1"/>
  <c r="L339" i="1"/>
  <c r="K339" i="1"/>
  <c r="J339" i="1"/>
  <c r="I339" i="1"/>
  <c r="H339" i="1"/>
  <c r="G339" i="1"/>
  <c r="F339" i="1"/>
  <c r="L338" i="1"/>
  <c r="K338" i="1"/>
  <c r="J338" i="1"/>
  <c r="I338" i="1"/>
  <c r="H338" i="1"/>
  <c r="G338" i="1"/>
  <c r="F338" i="1"/>
  <c r="L337" i="1"/>
  <c r="L336" i="1"/>
  <c r="L335" i="1"/>
  <c r="L334" i="1"/>
  <c r="L333" i="1"/>
  <c r="L329" i="1"/>
  <c r="K329" i="1"/>
  <c r="J329" i="1"/>
  <c r="I329" i="1"/>
  <c r="H329" i="1"/>
  <c r="G329" i="1"/>
  <c r="F329" i="1"/>
  <c r="L327" i="1"/>
  <c r="L326" i="1"/>
  <c r="L325" i="1"/>
  <c r="H325" i="1"/>
  <c r="L324" i="1"/>
  <c r="L323" i="1"/>
  <c r="L322" i="1"/>
  <c r="L321" i="1"/>
  <c r="H321" i="1"/>
  <c r="F321" i="1"/>
  <c r="L320" i="1"/>
  <c r="I320" i="1"/>
  <c r="H320" i="1"/>
  <c r="L318" i="1"/>
  <c r="H318" i="1"/>
  <c r="L317" i="1"/>
  <c r="L316" i="1"/>
  <c r="I316" i="1"/>
  <c r="H316" i="1"/>
  <c r="F316" i="1"/>
  <c r="L315" i="1"/>
  <c r="I315" i="1"/>
  <c r="F315" i="1"/>
  <c r="L310" i="1"/>
  <c r="K310" i="1"/>
  <c r="J310" i="1"/>
  <c r="I310" i="1"/>
  <c r="H310" i="1"/>
  <c r="G310" i="1"/>
  <c r="F310" i="1"/>
  <c r="L308" i="1"/>
  <c r="L307" i="1"/>
  <c r="L306" i="1"/>
  <c r="H306" i="1"/>
  <c r="L305" i="1"/>
  <c r="L304" i="1"/>
  <c r="L303" i="1"/>
  <c r="L302" i="1"/>
  <c r="H302" i="1"/>
  <c r="L301" i="1"/>
  <c r="I301" i="1"/>
  <c r="L299" i="1"/>
  <c r="L298" i="1"/>
  <c r="L297" i="1"/>
  <c r="I297" i="1"/>
  <c r="F297" i="1"/>
  <c r="L296" i="1"/>
  <c r="I296" i="1"/>
  <c r="L291" i="1"/>
  <c r="K291" i="1"/>
  <c r="J291" i="1"/>
  <c r="I291" i="1"/>
  <c r="H291" i="1"/>
  <c r="G291" i="1"/>
  <c r="F291" i="1"/>
  <c r="L289" i="1"/>
  <c r="L288" i="1"/>
  <c r="L287" i="1"/>
  <c r="H287" i="1"/>
  <c r="L286" i="1"/>
  <c r="L285" i="1"/>
  <c r="L284" i="1"/>
  <c r="L283" i="1"/>
  <c r="J283" i="1"/>
  <c r="I283" i="1"/>
  <c r="H283" i="1"/>
  <c r="L282" i="1"/>
  <c r="I282" i="1"/>
  <c r="H282" i="1"/>
  <c r="L280" i="1"/>
  <c r="L279" i="1"/>
  <c r="L278" i="1"/>
  <c r="J278" i="1"/>
  <c r="I278" i="1"/>
  <c r="H278" i="1"/>
  <c r="F278" i="1"/>
  <c r="L277" i="1"/>
  <c r="I277" i="1"/>
  <c r="F277" i="1"/>
  <c r="L272" i="1"/>
  <c r="K272" i="1"/>
  <c r="J272" i="1"/>
  <c r="I272" i="1"/>
  <c r="H272" i="1"/>
  <c r="G272" i="1"/>
  <c r="F272" i="1"/>
  <c r="L271" i="1"/>
  <c r="K271" i="1"/>
  <c r="J271" i="1"/>
  <c r="I271" i="1"/>
  <c r="H271" i="1"/>
  <c r="G271" i="1"/>
  <c r="F271" i="1"/>
  <c r="L270" i="1"/>
  <c r="L269" i="1"/>
  <c r="K269" i="1"/>
  <c r="L267" i="1"/>
  <c r="L266" i="1"/>
  <c r="L265" i="1"/>
  <c r="L264" i="1"/>
  <c r="K264" i="1"/>
  <c r="L262" i="1"/>
  <c r="L261" i="1"/>
  <c r="L258" i="1"/>
  <c r="K258" i="1"/>
  <c r="J258" i="1"/>
  <c r="I258" i="1"/>
  <c r="H258" i="1"/>
  <c r="G258" i="1"/>
  <c r="F258" i="1"/>
  <c r="L257" i="1"/>
  <c r="K257" i="1"/>
  <c r="J257" i="1"/>
  <c r="I257" i="1"/>
  <c r="H257" i="1"/>
  <c r="G257" i="1"/>
  <c r="F257" i="1"/>
  <c r="L256" i="1"/>
  <c r="L255" i="1"/>
  <c r="L254" i="1"/>
  <c r="L253" i="1"/>
  <c r="L252" i="1"/>
  <c r="L251" i="1"/>
  <c r="L248" i="1"/>
  <c r="K248" i="1"/>
  <c r="J248" i="1"/>
  <c r="I248" i="1"/>
  <c r="H248" i="1"/>
  <c r="G248" i="1"/>
  <c r="F248" i="1"/>
  <c r="L246" i="1"/>
  <c r="H246" i="1"/>
  <c r="L245" i="1"/>
  <c r="H245" i="1"/>
  <c r="G245" i="1"/>
  <c r="L244" i="1"/>
  <c r="J244" i="1"/>
  <c r="I244" i="1"/>
  <c r="H244" i="1"/>
  <c r="G244" i="1"/>
  <c r="F244" i="1"/>
  <c r="L243" i="1"/>
  <c r="H243" i="1"/>
  <c r="G243" i="1"/>
  <c r="L242" i="1"/>
  <c r="K242" i="1"/>
  <c r="J242" i="1"/>
  <c r="I242" i="1"/>
  <c r="H242" i="1"/>
  <c r="G242" i="1"/>
  <c r="F242" i="1"/>
  <c r="L241" i="1"/>
  <c r="H241" i="1"/>
  <c r="G241" i="1"/>
  <c r="L240" i="1"/>
  <c r="I240" i="1"/>
  <c r="H240" i="1"/>
  <c r="G240" i="1"/>
  <c r="L239" i="1"/>
  <c r="I239" i="1"/>
  <c r="H239" i="1"/>
  <c r="G239" i="1"/>
  <c r="F239" i="1"/>
  <c r="L237" i="1"/>
  <c r="I237" i="1"/>
  <c r="H237" i="1"/>
  <c r="G237" i="1"/>
  <c r="F237" i="1"/>
  <c r="L236" i="1"/>
  <c r="H236" i="1"/>
  <c r="L235" i="1"/>
  <c r="I235" i="1"/>
  <c r="H235" i="1"/>
  <c r="G235" i="1"/>
  <c r="F235" i="1"/>
  <c r="L234" i="1"/>
  <c r="I234" i="1"/>
  <c r="H234" i="1"/>
  <c r="G234" i="1"/>
  <c r="F234" i="1"/>
  <c r="L230" i="1"/>
  <c r="K230" i="1"/>
  <c r="J230" i="1"/>
  <c r="I230" i="1"/>
  <c r="H230" i="1"/>
  <c r="G230" i="1"/>
  <c r="F230" i="1"/>
  <c r="L228" i="1"/>
  <c r="H228" i="1"/>
  <c r="L227" i="1"/>
  <c r="H227" i="1"/>
  <c r="G227" i="1"/>
  <c r="L226" i="1"/>
  <c r="I226" i="1"/>
  <c r="H226" i="1"/>
  <c r="G226" i="1"/>
  <c r="F226" i="1"/>
  <c r="L225" i="1"/>
  <c r="H225" i="1"/>
  <c r="G225" i="1"/>
  <c r="L224" i="1"/>
  <c r="I224" i="1"/>
  <c r="G224" i="1"/>
  <c r="F224" i="1"/>
  <c r="L223" i="1"/>
  <c r="H223" i="1"/>
  <c r="G223" i="1"/>
  <c r="L222" i="1"/>
  <c r="I222" i="1"/>
  <c r="H222" i="1"/>
  <c r="G222" i="1"/>
  <c r="L221" i="1"/>
  <c r="I221" i="1"/>
  <c r="H221" i="1"/>
  <c r="G221" i="1"/>
  <c r="F221" i="1"/>
  <c r="L219" i="1"/>
  <c r="H219" i="1"/>
  <c r="G219" i="1"/>
  <c r="L218" i="1"/>
  <c r="L217" i="1"/>
  <c r="I217" i="1"/>
  <c r="G217" i="1"/>
  <c r="F217" i="1"/>
  <c r="L216" i="1"/>
  <c r="I216" i="1"/>
  <c r="H216" i="1"/>
  <c r="G216" i="1"/>
  <c r="F216" i="1"/>
  <c r="L212" i="1"/>
  <c r="K212" i="1"/>
  <c r="J212" i="1"/>
  <c r="I212" i="1"/>
  <c r="H212" i="1"/>
  <c r="G212" i="1"/>
  <c r="F212" i="1"/>
  <c r="L210" i="1"/>
  <c r="H210" i="1"/>
  <c r="L209" i="1"/>
  <c r="G209" i="1"/>
  <c r="L208" i="1"/>
  <c r="I208" i="1"/>
  <c r="H208" i="1"/>
  <c r="G208" i="1"/>
  <c r="F208" i="1"/>
  <c r="L207" i="1"/>
  <c r="H207" i="1"/>
  <c r="G207" i="1"/>
  <c r="L206" i="1"/>
  <c r="I206" i="1"/>
  <c r="G206" i="1"/>
  <c r="F206" i="1"/>
  <c r="L205" i="1"/>
  <c r="H205" i="1"/>
  <c r="G205" i="1"/>
  <c r="L204" i="1"/>
  <c r="J204" i="1"/>
  <c r="I204" i="1"/>
  <c r="H204" i="1"/>
  <c r="G204" i="1"/>
  <c r="L203" i="1"/>
  <c r="I203" i="1"/>
  <c r="H203" i="1"/>
  <c r="G203" i="1"/>
  <c r="F203" i="1"/>
  <c r="L201" i="1"/>
  <c r="G201" i="1"/>
  <c r="L200" i="1"/>
  <c r="L199" i="1"/>
  <c r="I199" i="1"/>
  <c r="H199" i="1"/>
  <c r="G199" i="1"/>
  <c r="F199" i="1"/>
  <c r="L198" i="1"/>
  <c r="J198" i="1"/>
  <c r="I198" i="1"/>
  <c r="H198" i="1"/>
  <c r="G198" i="1"/>
  <c r="F198" i="1"/>
  <c r="J194" i="1"/>
  <c r="I194" i="1"/>
  <c r="H194" i="1"/>
  <c r="G194" i="1"/>
  <c r="J193" i="1"/>
  <c r="I193" i="1"/>
  <c r="H193" i="1"/>
  <c r="G193" i="1"/>
  <c r="F193" i="1"/>
  <c r="I189" i="1"/>
  <c r="H189" i="1"/>
  <c r="G189" i="1"/>
  <c r="F189" i="1"/>
  <c r="J184" i="1"/>
  <c r="I184" i="1"/>
  <c r="H184" i="1"/>
  <c r="G184" i="1"/>
  <c r="F184" i="1"/>
  <c r="G180" i="1"/>
  <c r="I178" i="1"/>
  <c r="F178" i="1"/>
  <c r="I170" i="1"/>
  <c r="H170" i="1"/>
  <c r="G170" i="1"/>
  <c r="F170" i="1"/>
  <c r="I163" i="1"/>
  <c r="H163" i="1"/>
  <c r="G163" i="1"/>
  <c r="F163" i="1"/>
  <c r="H161" i="1"/>
  <c r="F160" i="1"/>
  <c r="H159" i="1"/>
  <c r="H155" i="1"/>
  <c r="H154" i="1"/>
  <c r="I147" i="1"/>
  <c r="H147" i="1"/>
  <c r="G147" i="1"/>
  <c r="F147" i="1"/>
  <c r="J140" i="1"/>
  <c r="I140" i="1"/>
  <c r="H140" i="1"/>
  <c r="G140" i="1"/>
  <c r="J136" i="1"/>
  <c r="I136" i="1"/>
  <c r="H136" i="1"/>
  <c r="G136" i="1"/>
  <c r="F136" i="1"/>
  <c r="J121" i="1"/>
  <c r="I121" i="1"/>
  <c r="H121" i="1"/>
  <c r="G121" i="1"/>
  <c r="F121" i="1"/>
  <c r="F140" i="1" s="1"/>
  <c r="F118" i="1"/>
  <c r="J112" i="1"/>
  <c r="I112" i="1"/>
  <c r="H112" i="1"/>
  <c r="G112" i="1"/>
  <c r="F112" i="1"/>
  <c r="J111" i="1"/>
  <c r="I111" i="1"/>
  <c r="H111" i="1"/>
  <c r="G111" i="1"/>
  <c r="F111" i="1"/>
  <c r="F110" i="1"/>
  <c r="F102" i="1"/>
  <c r="G97" i="1"/>
  <c r="H94" i="1"/>
  <c r="F94" i="1"/>
  <c r="H79" i="1"/>
  <c r="F79" i="1"/>
  <c r="F63" i="1"/>
  <c r="J60" i="1"/>
  <c r="I60" i="1"/>
  <c r="H60" i="1"/>
  <c r="G60" i="1"/>
  <c r="F60" i="1"/>
  <c r="F57" i="1"/>
  <c r="J52" i="1"/>
  <c r="I52" i="1"/>
  <c r="H52" i="1"/>
  <c r="G52" i="1"/>
  <c r="F52" i="1"/>
  <c r="J51" i="1"/>
  <c r="I51" i="1"/>
  <c r="H51" i="1"/>
  <c r="G51" i="1"/>
  <c r="F51" i="1"/>
  <c r="F50" i="1"/>
  <c r="J49" i="1"/>
  <c r="G49" i="1"/>
  <c r="J48" i="1"/>
  <c r="J45" i="1"/>
  <c r="J43" i="1"/>
  <c r="J39" i="1"/>
  <c r="J37" i="1"/>
  <c r="J32" i="1"/>
  <c r="I32" i="1"/>
  <c r="H32" i="1"/>
  <c r="G32" i="1"/>
  <c r="F32" i="1"/>
  <c r="J31" i="1"/>
  <c r="F30" i="1"/>
  <c r="F28" i="1"/>
  <c r="J24" i="1"/>
  <c r="F24" i="1"/>
  <c r="J23" i="1"/>
  <c r="J22" i="1"/>
  <c r="H22" i="1"/>
  <c r="J19" i="1"/>
  <c r="I19" i="1"/>
  <c r="H19" i="1"/>
  <c r="G19" i="1"/>
  <c r="F19" i="1"/>
  <c r="J18" i="1"/>
  <c r="J17" i="1"/>
  <c r="F17" i="1"/>
  <c r="J14" i="1"/>
  <c r="F14" i="1"/>
  <c r="J13" i="1"/>
  <c r="G13" i="1"/>
  <c r="F13" i="1"/>
  <c r="J12" i="1"/>
  <c r="G12" i="1"/>
  <c r="J10" i="1"/>
  <c r="J9" i="1"/>
  <c r="F9" i="1"/>
  <c r="C7" i="10" l="1"/>
  <c r="I668" i="1"/>
  <c r="C38" i="10"/>
  <c r="F194" i="1"/>
  <c r="G628" i="1" s="1"/>
  <c r="G546" i="1"/>
  <c r="H553" i="1"/>
  <c r="F546" i="1"/>
  <c r="L535" i="1"/>
  <c r="J546" i="1"/>
  <c r="I546" i="1"/>
  <c r="H546" i="1"/>
  <c r="K552" i="1"/>
  <c r="K551" i="1"/>
  <c r="L530" i="1"/>
  <c r="G550" i="1"/>
  <c r="G553" i="1" s="1"/>
  <c r="L525" i="1"/>
  <c r="F550" i="1"/>
  <c r="F4" i="14"/>
  <c r="H4" i="14" s="1"/>
  <c r="I4" i="14" s="1"/>
  <c r="H657" i="1" l="1"/>
  <c r="J628" i="1"/>
  <c r="C41" i="10"/>
  <c r="D38" i="10"/>
  <c r="L546" i="1"/>
  <c r="F553" i="1"/>
  <c r="K550" i="1"/>
  <c r="K553" i="1" s="1"/>
  <c r="D39" i="10" l="1"/>
  <c r="D37" i="10"/>
  <c r="D35" i="10"/>
  <c r="D40" i="10"/>
  <c r="D36"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<sst xmlns="http://schemas.openxmlformats.org/spreadsheetml/2006/main" count="5599" uniqueCount="1681">
  <si>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</si>
  <si>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</si>
  <si>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</si>
  <si>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</si>
  <si>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</si>
  <si>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</si>
  <si>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</si>
  <si>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</si>
  <si>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</si>
  <si>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</si>
  <si>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</si>
  <si>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</si>
  <si>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</si>
  <si>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</si>
  <si>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</si>
  <si>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</si>
  <si>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</si>
  <si>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</si>
  <si>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</si>
  <si>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</si>
  <si>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</si>
  <si>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</si>
  <si>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</si>
  <si>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</si>
  <si>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</si>
  <si>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</si>
  <si>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</si>
  <si>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</si>
  <si>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</si>
  <si>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</si>
  <si>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</si>
  <si>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</si>
  <si>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</si>
  <si>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</si>
  <si>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</si>
  <si>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</si>
  <si>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</si>
  <si>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</si>
  <si>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</si>
  <si>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</si>
  <si>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</si>
  <si>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</si>
  <si>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</si>
  <si>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</si>
  <si>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</si>
  <si>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</si>
  <si>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</si>
  <si>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</si>
  <si>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</si>
  <si>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</si>
  <si>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</si>
  <si>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</si>
  <si>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</si>
  <si>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</si>
  <si>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</si>
  <si>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</si>
  <si>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</si>
  <si>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</si>
  <si>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</si>
  <si>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</si>
  <si>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</si>
  <si>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</si>
  <si>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</si>
  <si>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</si>
  <si>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</si>
  <si>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</si>
  <si>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</si>
  <si>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</si>
  <si>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</si>
  <si>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</si>
  <si>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</si>
  <si>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</si>
  <si>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</si>
  <si>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</si>
  <si>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</si>
  <si>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</si>
  <si>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</si>
  <si>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</si>
  <si>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</si>
  <si>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</si>
  <si>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</si>
  <si>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</si>
  <si>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</si>
  <si>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</si>
  <si>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</si>
  <si>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</si>
  <si>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</si>
  <si>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</si>
  <si>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</si>
  <si>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</si>
  <si>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</si>
  <si>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</si>
  <si>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</si>
  <si>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</si>
  <si>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</si>
  <si>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</si>
  <si>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</si>
  <si>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</si>
  <si>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</si>
  <si>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</si>
  <si>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</si>
  <si>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</si>
  <si>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</si>
  <si>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</si>
  <si>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</si>
  <si>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</si>
  <si>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</si>
  <si>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</si>
  <si>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</si>
  <si>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</si>
  <si>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</si>
  <si>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</si>
  <si>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</si>
  <si>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</si>
  <si>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</si>
  <si>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</si>
  <si>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</si>
  <si>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</si>
  <si>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</si>
  <si>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</si>
  <si>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</si>
  <si>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</si>
  <si>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</si>
  <si>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</si>
  <si>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</si>
  <si>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</si>
  <si>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</si>
  <si>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</si>
  <si>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</si>
  <si>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</si>
  <si>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</si>
  <si>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</si>
  <si>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</si>
  <si>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</si>
  <si>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</si>
  <si>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</si>
  <si>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</si>
  <si>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</si>
  <si>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</si>
  <si>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</si>
  <si>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</si>
  <si>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</si>
  <si>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</si>
  <si>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</si>
  <si>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</si>
  <si>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</si>
  <si>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</si>
  <si>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</si>
  <si>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</si>
  <si>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</si>
  <si>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</si>
  <si>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</si>
  <si>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</si>
  <si>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</si>
  <si>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</si>
  <si>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</si>
  <si>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</si>
  <si>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</si>
  <si>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</si>
  <si>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</si>
  <si>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</si>
  <si>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</si>
  <si>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</si>
  <si>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</si>
  <si>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</si>
  <si>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</si>
  <si>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</si>
  <si>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</si>
  <si>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</si>
  <si>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</si>
  <si>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</si>
  <si>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</si>
  <si>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</si>
  <si>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</si>
  <si>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</si>
  <si>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</si>
  <si>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</si>
  <si>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</si>
  <si>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</si>
  <si>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</si>
  <si>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</si>
  <si>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</si>
  <si>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</si>
  <si>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</si>
  <si>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</si>
  <si>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</si>
  <si>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</si>
  <si>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</si>
  <si>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</si>
  <si>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</si>
  <si>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</si>
  <si>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</si>
  <si>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</si>
  <si>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</si>
  <si>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</si>
  <si>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</si>
  <si>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</si>
  <si>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</si>
  <si>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</si>
  <si>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</si>
  <si>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</si>
  <si>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</si>
  <si>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</si>
  <si>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</si>
  <si>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</si>
  <si>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</si>
  <si>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</si>
  <si>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</si>
  <si>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</si>
  <si>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</si>
  <si>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</si>
  <si>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</si>
  <si>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</si>
  <si>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</si>
  <si>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</si>
  <si>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</si>
  <si>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</si>
  <si>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</si>
  <si>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</si>
  <si>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</si>
  <si>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</si>
  <si>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</si>
  <si>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</si>
  <si>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</si>
  <si>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</si>
  <si>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</si>
  <si>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</si>
  <si>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</si>
  <si>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</si>
  <si>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</si>
  <si>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</si>
  <si>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</si>
  <si>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</si>
  <si>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</si>
  <si>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</si>
  <si>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</si>
  <si>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</si>
  <si>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</si>
  <si>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</si>
  <si>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</si>
  <si>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</si>
  <si>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</si>
  <si>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</si>
  <si>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</si>
  <si>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</si>
  <si>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</si>
  <si>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</si>
  <si>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</si>
  <si>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</si>
  <si>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</si>
  <si>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</si>
  <si>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</si>
  <si>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</si>
  <si>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</si>
  <si>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</si>
  <si>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</si>
  <si>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</si>
  <si>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</si>
  <si>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</si>
  <si>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</si>
  <si>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</si>
  <si>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</si>
  <si>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</si>
  <si>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</si>
  <si>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</si>
  <si>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</si>
  <si>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</si>
  <si>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</si>
  <si>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</si>
  <si>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</si>
  <si>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</si>
  <si>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</si>
  <si>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</si>
  <si>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</si>
  <si>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</si>
  <si>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</si>
  <si>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</si>
  <si>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</si>
  <si>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</si>
  <si>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</si>
  <si>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</si>
  <si>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</si>
  <si>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</si>
  <si>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</si>
  <si>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</si>
  <si>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</si>
  <si>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</si>
  <si>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</si>
  <si>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</si>
  <si>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</si>
  <si>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</si>
  <si>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</si>
  <si>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</si>
  <si>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</si>
  <si>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</si>
  <si>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</si>
  <si>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</si>
  <si>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</si>
  <si>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</si>
  <si>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</si>
  <si>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</si>
  <si>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</si>
  <si>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</si>
  <si>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</si>
  <si>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</si>
  <si>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</si>
  <si>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</si>
  <si>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</si>
  <si>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</si>
  <si>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</si>
  <si>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</si>
  <si>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</si>
  <si>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</si>
  <si>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</si>
  <si>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</si>
  <si>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</si>
  <si>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</si>
  <si>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</si>
  <si>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</si>
  <si>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</si>
  <si>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</si>
  <si>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</si>
  <si>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</si>
  <si>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</si>
  <si>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</si>
  <si>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</si>
  <si>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</si>
  <si>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</si>
  <si>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</si>
  <si>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</si>
  <si>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</si>
  <si>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</si>
  <si>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</si>
  <si>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</si>
  <si>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</si>
  <si>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</si>
  <si>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</si>
  <si>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</si>
  <si>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</si>
  <si>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</si>
  <si>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</si>
  <si>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</si>
  <si>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</si>
  <si>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</si>
  <si>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</si>
  <si>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</si>
  <si>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</si>
  <si>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</si>
  <si>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</si>
  <si>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</si>
  <si>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</si>
  <si>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</si>
  <si>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</si>
  <si>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</si>
  <si>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</si>
  <si>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</si>
  <si>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</si>
  <si>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</si>
  <si>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</si>
  <si>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</si>
  <si>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</si>
  <si>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</si>
  <si>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</si>
  <si>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</si>
  <si>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</si>
  <si>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</si>
  <si>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</si>
  <si>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</si>
  <si>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</si>
  <si>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</si>
  <si>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</si>
  <si>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</si>
  <si>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</si>
  <si>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</si>
  <si>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</si>
  <si>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</si>
  <si>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</si>
  <si>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</si>
  <si>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</si>
  <si>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</si>
  <si>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</si>
  <si>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</si>
  <si>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</si>
  <si>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</si>
  <si>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</si>
  <si>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</si>
  <si>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</si>
  <si>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</si>
  <si>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</si>
  <si>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</si>
  <si>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</si>
  <si>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</si>
  <si>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</si>
  <si>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</si>
  <si>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</si>
  <si>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</si>
  <si>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</si>
  <si>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</si>
  <si>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</si>
  <si>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</si>
  <si>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</si>
  <si>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</si>
  <si>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</si>
  <si>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</si>
  <si>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</si>
  <si>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</si>
  <si>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</si>
  <si>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</si>
  <si>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</si>
  <si>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</si>
  <si>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</si>
  <si>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</si>
  <si>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</si>
  <si>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</si>
  <si>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</si>
  <si>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</si>
  <si>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</si>
  <si>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</si>
  <si>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</si>
  <si>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</si>
  <si>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</si>
  <si>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</si>
  <si>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</si>
  <si>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</si>
  <si>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</si>
  <si>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</si>
  <si>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</si>
  <si>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</si>
  <si>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</si>
  <si>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</si>
  <si>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</si>
  <si>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</si>
  <si>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</si>
  <si>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</si>
  <si>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</si>
  <si>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</si>
  <si>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</si>
  <si>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</si>
  <si>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</si>
  <si>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</si>
  <si>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</si>
  <si>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</si>
  <si>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</si>
  <si>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</si>
  <si>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</si>
  <si>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</si>
  <si>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</si>
  <si>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</si>
  <si>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</si>
  <si>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</si>
  <si>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</si>
  <si>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</si>
  <si>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</si>
  <si>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</si>
  <si>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</si>
  <si>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</si>
  <si>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</si>
  <si>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</si>
  <si>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</si>
  <si>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</si>
  <si>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</si>
  <si>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</si>
  <si>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</si>
  <si>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</si>
  <si>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</si>
  <si>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</si>
  <si>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</si>
  <si>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</si>
  <si>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</si>
  <si>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</si>
  <si>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</si>
  <si>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</si>
  <si>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</si>
  <si>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</si>
  <si>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</si>
  <si>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</si>
  <si>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</si>
  <si>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</si>
  <si>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</si>
  <si>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</si>
  <si>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</si>
  <si>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</si>
  <si>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</si>
  <si>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</si>
  <si>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</si>
  <si>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</si>
  <si>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</si>
  <si>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</si>
  <si>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</si>
  <si>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</si>
  <si>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</si>
  <si>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</si>
  <si>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</si>
  <si>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</si>
  <si>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</si>
  <si>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</si>
  <si>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</si>
  <si>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</si>
  <si>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</si>
  <si>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</si>
  <si>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</si>
  <si>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</si>
  <si>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</si>
  <si>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</si>
  <si>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</si>
  <si>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</si>
  <si>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</si>
  <si>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</si>
  <si>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</si>
  <si>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</si>
  <si>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</si>
  <si>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</si>
  <si>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</si>
  <si>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</si>
  <si>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</si>
  <si>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</si>
  <si>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</si>
  <si>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</si>
  <si>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</si>
  <si>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</si>
  <si>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</si>
  <si>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</si>
  <si>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</si>
  <si>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</si>
  <si>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</si>
  <si>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</si>
  <si>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</si>
  <si>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</si>
  <si>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</si>
  <si>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</si>
  <si>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</si>
  <si>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</si>
  <si>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</si>
  <si>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</si>
  <si>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</si>
  <si>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</si>
  <si>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</si>
  <si>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</si>
  <si>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</si>
  <si>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</si>
  <si>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</si>
  <si>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</si>
  <si>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</si>
  <si>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</si>
  <si>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</si>
  <si>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</si>
  <si>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</si>
  <si>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</si>
  <si>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</si>
  <si>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</si>
  <si>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</si>
  <si>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</si>
  <si>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</si>
  <si>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</si>
  <si>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</si>
  <si>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</si>
  <si>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</si>
  <si>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</si>
  <si>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</si>
  <si>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</si>
  <si>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</si>
  <si>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</si>
  <si>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</si>
  <si>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</si>
  <si>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</si>
  <si>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</si>
  <si>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</si>
  <si>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</si>
  <si>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</si>
  <si>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</si>
  <si>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</si>
  <si>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</si>
  <si>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</si>
  <si>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</si>
  <si>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</si>
  <si>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</si>
  <si>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</si>
  <si>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</si>
  <si>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</si>
  <si>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</si>
  <si>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</si>
  <si>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</si>
  <si>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</si>
  <si>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</si>
  <si>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</si>
  <si>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</si>
  <si>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</si>
  <si>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</si>
  <si>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</si>
  <si>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</si>
  <si>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</si>
  <si>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</si>
  <si>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</si>
  <si>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</si>
  <si>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</si>
  <si>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</si>
  <si>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</si>
  <si>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</si>
  <si>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</si>
  <si>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</si>
  <si>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</si>
  <si>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</si>
  <si>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</si>
  <si>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</si>
  <si>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</si>
  <si>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</si>
  <si>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</si>
  <si>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</si>
  <si>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</si>
  <si>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</si>
  <si>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</si>
  <si>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</si>
  <si>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</si>
  <si>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</si>
  <si>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</si>
  <si>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</si>
  <si>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</si>
  <si>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</si>
  <si>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</si>
  <si>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</si>
  <si>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</si>
  <si>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</si>
  <si>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</si>
  <si>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</si>
  <si>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</si>
  <si>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</si>
  <si>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</si>
  <si>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</si>
  <si>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</si>
  <si>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</si>
  <si>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</si>
  <si>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</si>
  <si>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</si>
  <si>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</si>
  <si>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</si>
  <si>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</si>
  <si>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</si>
  <si>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</si>
  <si>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</si>
  <si>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</si>
  <si>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</si>
  <si>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</si>
  <si>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</si>
  <si>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</si>
  <si>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</si>
  <si>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</si>
  <si>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</si>
  <si>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</si>
  <si>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</si>
  <si>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</si>
  <si>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</si>
  <si>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</si>
  <si>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</si>
  <si>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</si>
  <si>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</si>
  <si>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</si>
  <si>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</si>
  <si>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</si>
  <si>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</si>
  <si>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</si>
  <si>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</si>
  <si>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</si>
  <si>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</si>
  <si>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</si>
  <si>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</si>
  <si>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</si>
  <si>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</si>
  <si>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</si>
  <si>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</si>
  <si>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</si>
  <si>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</si>
  <si>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</si>
  <si>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</si>
  <si>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</si>
  <si>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</si>
  <si>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</si>
  <si>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</si>
  <si>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</si>
  <si>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</si>
  <si>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</si>
  <si>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</si>
  <si>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</si>
  <si>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</si>
  <si>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</si>
  <si>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</si>
  <si>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</si>
  <si>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</si>
  <si>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</si>
  <si>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</si>
  <si>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</si>
  <si>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</si>
  <si>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</si>
  <si>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</si>
  <si>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</si>
  <si>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</si>
  <si>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</si>
  <si>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</si>
  <si>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</si>
  <si>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</si>
  <si>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</si>
  <si>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</si>
  <si>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</si>
  <si>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</si>
  <si>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</si>
  <si>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</si>
  <si>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</si>
  <si>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</si>
  <si>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</si>
  <si>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</si>
  <si>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</si>
  <si>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</si>
  <si>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</si>
  <si>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</si>
  <si>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</si>
  <si>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</si>
  <si>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</si>
  <si>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</si>
  <si>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</si>
  <si>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</si>
  <si>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</si>
  <si>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</si>
  <si>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</si>
  <si>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</si>
  <si>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</si>
  <si>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</si>
  <si>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</si>
  <si>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</si>
  <si>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</si>
  <si>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</si>
  <si>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</si>
  <si>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</si>
  <si>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</si>
  <si>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</si>
  <si>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</si>
  <si>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</si>
  <si>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</si>
  <si>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</si>
  <si>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</si>
  <si>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</si>
  <si>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</si>
  <si>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</si>
  <si>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</si>
  <si>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</si>
  <si>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</si>
  <si>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</si>
  <si>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</si>
  <si>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</si>
  <si>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</si>
  <si>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</si>
  <si>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</si>
  <si>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</si>
  <si>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</si>
  <si>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</si>
  <si>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</si>
  <si>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</si>
  <si>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</si>
  <si>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</si>
  <si>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</si>
  <si>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</si>
  <si>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</si>
  <si>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</si>
  <si>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</si>
  <si>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</si>
  <si>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</si>
  <si>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</si>
  <si>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</si>
  <si>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</si>
  <si>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</si>
  <si>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</si>
  <si>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</si>
  <si>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</si>
  <si>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</si>
  <si>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</si>
  <si>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</si>
  <si>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</si>
  <si>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</si>
  <si>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</si>
  <si>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</si>
  <si>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</si>
  <si>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</si>
  <si>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</si>
  <si>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</si>
  <si>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</si>
  <si>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</si>
  <si>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</si>
  <si>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</si>
  <si>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</si>
  <si>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</si>
  <si>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</si>
  <si>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</si>
  <si>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</si>
  <si>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</si>
  <si>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</si>
  <si>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</si>
  <si>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</si>
  <si>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</si>
  <si>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</si>
  <si>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</si>
  <si>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</si>
  <si>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</si>
  <si>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</si>
  <si>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</si>
  <si>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</si>
  <si>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</si>
  <si>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</si>
  <si>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</si>
  <si>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</si>
  <si>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</si>
  <si>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</si>
  <si>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</si>
  <si>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</si>
  <si>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</si>
  <si>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</si>
  <si>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</si>
  <si>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</si>
  <si>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</si>
  <si>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</si>
  <si>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</si>
  <si>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</si>
  <si>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</si>
  <si>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</si>
  <si>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</si>
  <si>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</si>
  <si>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</si>
  <si>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</si>
  <si>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</si>
  <si>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</si>
  <si>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</si>
  <si>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</si>
  <si>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</si>
  <si>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</si>
  <si>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</si>
  <si>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</si>
  <si>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</si>
  <si>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</si>
  <si>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</si>
  <si>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</si>
  <si>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</si>
  <si>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</si>
  <si>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</si>
  <si>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</si>
  <si>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</si>
  <si>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</si>
  <si>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</si>
  <si>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</si>
  <si>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</si>
  <si>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</si>
  <si>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</si>
  <si>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</si>
  <si>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</si>
  <si>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</si>
  <si>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</si>
  <si>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</si>
  <si>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</si>
  <si>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</si>
  <si>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</si>
  <si>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</si>
  <si>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</si>
  <si>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</si>
  <si>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</si>
  <si>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</si>
  <si>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</si>
  <si>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</si>
  <si>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</si>
  <si>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</si>
  <si>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</si>
  <si>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</si>
  <si>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</si>
  <si>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</si>
  <si>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</si>
  <si>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</si>
  <si>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</si>
  <si>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</si>
  <si>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</si>
  <si>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</si>
  <si>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</si>
  <si>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</si>
  <si>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</si>
  <si>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</si>
  <si>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</si>
  <si>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</si>
  <si>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</si>
  <si>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</si>
  <si>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</si>
  <si>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</si>
  <si>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</si>
  <si>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</si>
  <si>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</si>
  <si>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</si>
  <si>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</si>
  <si>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</si>
  <si>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</si>
  <si>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</si>
  <si>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</si>
  <si>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</si>
  <si>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</si>
  <si>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</si>
  <si>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</si>
  <si>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</si>
  <si>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</si>
  <si>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</si>
  <si>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</si>
  <si>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</si>
  <si>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</si>
  <si>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</si>
  <si>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</si>
  <si>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</si>
  <si>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</si>
  <si>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</si>
  <si>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</si>
  <si>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</si>
  <si>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</si>
  <si>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</si>
  <si>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</si>
  <si>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</si>
  <si>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</si>
  <si>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</si>
  <si>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</si>
  <si>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</si>
  <si>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</si>
  <si>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</si>
  <si>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</si>
  <si>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</si>
  <si>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</si>
  <si>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</si>
  <si>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</si>
  <si>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</si>
  <si>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</si>
  <si>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</si>
  <si>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</si>
  <si>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</si>
  <si>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</si>
  <si>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</si>
  <si>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</si>
  <si>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</si>
  <si>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</si>
  <si>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</si>
  <si>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</si>
  <si>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</si>
  <si>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</si>
  <si>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</si>
  <si>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</si>
  <si>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</si>
  <si>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</si>
  <si>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</si>
  <si>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</si>
  <si>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</si>
  <si>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</si>
  <si>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</si>
  <si>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</si>
  <si>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</si>
  <si>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</si>
  <si>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</si>
  <si>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</si>
  <si>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</si>
  <si>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</si>
  <si>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</si>
  <si>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</si>
  <si>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</si>
  <si>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</si>
  <si>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</si>
  <si>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</si>
  <si>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</si>
  <si>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</si>
  <si>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</si>
  <si>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</si>
  <si>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</si>
  <si>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</si>
  <si>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</si>
  <si>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</si>
  <si>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</si>
  <si>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</si>
  <si>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</si>
  <si>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</si>
  <si>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</si>
  <si>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</si>
  <si>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</si>
  <si>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</si>
  <si>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</si>
  <si>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</si>
  <si>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</si>
  <si>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</si>
  <si>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</si>
  <si>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</si>
  <si>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</si>
  <si>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</si>
  <si>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</si>
  <si>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</si>
  <si>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</si>
  <si>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</si>
  <si>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</si>
  <si>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</si>
  <si>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</si>
  <si>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</si>
  <si>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</si>
  <si>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</si>
  <si>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</si>
  <si>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</si>
  <si>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</si>
  <si>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</si>
  <si>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</si>
  <si>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</si>
  <si>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</si>
  <si>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</si>
  <si>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</si>
  <si>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</si>
  <si>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</si>
  <si>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</si>
  <si>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</si>
  <si>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</si>
  <si>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</si>
  <si>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</si>
  <si>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</si>
  <si>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</si>
  <si>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</si>
  <si>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</si>
  <si>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</si>
  <si>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</si>
  <si>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</si>
  <si>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</si>
  <si>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</si>
  <si>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</si>
  <si>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</si>
  <si>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</si>
  <si>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</si>
  <si>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</si>
  <si>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</si>
  <si>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</si>
  <si>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</si>
  <si>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</si>
  <si>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</si>
  <si>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</si>
  <si>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</si>
  <si>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</si>
  <si>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</si>
  <si>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</si>
  <si>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</si>
  <si>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</si>
  <si>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</si>
  <si>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</si>
  <si>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</si>
  <si>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</si>
  <si>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</si>
  <si>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</si>
  <si>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</si>
  <si>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</si>
  <si>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</si>
  <si>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</si>
  <si>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</si>
  <si>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</si>
  <si>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</si>
  <si>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</si>
  <si>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</si>
  <si>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</si>
  <si>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</si>
  <si>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</si>
  <si>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</si>
  <si>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</si>
  <si>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</si>
  <si>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</si>
  <si>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</si>
  <si>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</si>
  <si>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</si>
  <si>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</si>
  <si>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</si>
  <si>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</si>
  <si>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</si>
  <si>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</si>
  <si>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</si>
  <si>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</si>
  <si>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</si>
  <si>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</si>
  <si>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</si>
  <si>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</si>
  <si>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</si>
  <si>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</si>
  <si>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</si>
  <si>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</si>
  <si>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</si>
  <si>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</si>
  <si>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</si>
  <si>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</si>
  <si>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</si>
  <si>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</si>
  <si>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</si>
  <si>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</si>
  <si>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</si>
  <si>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</si>
  <si>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</si>
  <si>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</si>
  <si>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</si>
  <si>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</si>
  <si>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</si>
  <si>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</si>
  <si>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</si>
  <si>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</si>
  <si>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</si>
  <si>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</si>
  <si>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</si>
  <si>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</si>
  <si>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</si>
  <si>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</si>
  <si>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</si>
  <si>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</si>
  <si>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</si>
  <si>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</si>
  <si>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</si>
  <si>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</si>
  <si>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</si>
  <si>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</si>
  <si>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</si>
  <si>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</si>
  <si>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</si>
  <si>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</si>
  <si>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</si>
  <si>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</si>
  <si>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</si>
  <si>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</si>
  <si>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</si>
  <si>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</si>
  <si>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</si>
  <si>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</si>
  <si>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</si>
  <si>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</si>
  <si>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</si>
  <si>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</si>
  <si>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</si>
  <si>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</si>
  <si>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</si>
  <si>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</si>
  <si>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</si>
  <si>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</si>
  <si>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</si>
  <si>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</si>
  <si>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</si>
  <si>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</si>
  <si>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</si>
  <si>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</si>
  <si>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</si>
  <si>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</si>
  <si>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</si>
  <si>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</si>
  <si>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</si>
  <si>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</si>
  <si>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</si>
  <si>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</si>
  <si>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</si>
  <si>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</si>
  <si>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</si>
  <si>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</si>
  <si>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</si>
  <si>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</si>
  <si>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</si>
  <si>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</si>
  <si>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</si>
  <si>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</si>
  <si>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</si>
  <si>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</si>
  <si>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</si>
  <si>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</si>
  <si>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</si>
  <si>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</si>
  <si>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</si>
  <si>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</si>
  <si>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</si>
  <si>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</si>
  <si>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</si>
  <si>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</si>
  <si>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</si>
  <si>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</si>
  <si>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</si>
  <si>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</si>
  <si>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</si>
  <si>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</si>
  <si>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</si>
  <si>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</si>
  <si>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</si>
  <si>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</si>
  <si>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</si>
  <si>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</si>
  <si>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</si>
  <si>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</si>
  <si>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</si>
  <si>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</si>
  <si>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</si>
  <si>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</si>
  <si>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</si>
  <si>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</si>
  <si>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</si>
  <si>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</si>
  <si>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</si>
  <si>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</si>
  <si>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</si>
  <si>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</si>
  <si>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</si>
  <si>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</si>
  <si>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</si>
  <si>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</si>
  <si>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</si>
  <si>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</si>
  <si>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</si>
  <si>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</si>
  <si>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</si>
  <si>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</si>
  <si>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</si>
  <si>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</si>
  <si>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</si>
  <si>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</si>
  <si>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</si>
  <si>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</si>
  <si>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</si>
  <si>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</si>
  <si>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</si>
  <si>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</si>
  <si>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</si>
  <si>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</si>
  <si>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</si>
  <si>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</si>
  <si>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</si>
  <si>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</si>
  <si>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</si>
  <si>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</si>
  <si>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</si>
  <si>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</si>
  <si>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</si>
  <si>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</si>
  <si>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</si>
  <si>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</si>
  <si>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</si>
  <si>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</si>
  <si>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</si>
  <si>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</si>
  <si>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</si>
  <si>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</si>
  <si>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</si>
  <si>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</si>
  <si>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</si>
  <si>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</si>
  <si>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</si>
  <si>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</si>
  <si>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</si>
  <si>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</si>
  <si>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</si>
  <si>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</si>
  <si>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</si>
  <si>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</si>
  <si>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</si>
  <si>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</si>
  <si>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</si>
  <si>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</si>
  <si>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</si>
  <si>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</si>
  <si>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</si>
  <si>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</si>
  <si>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</si>
  <si>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</si>
  <si>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</si>
  <si>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</si>
  <si>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</si>
  <si>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</si>
  <si>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</si>
  <si>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</si>
  <si>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</si>
  <si>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</si>
  <si>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</si>
  <si>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</si>
  <si>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</si>
  <si>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</si>
  <si>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</si>
  <si>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</si>
  <si>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</si>
  <si>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</si>
  <si>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</si>
  <si>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</si>
  <si>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</si>
  <si>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</si>
  <si>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</si>
  <si>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</si>
  <si>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</si>
  <si>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</si>
  <si>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</si>
  <si>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</si>
  <si>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</si>
  <si>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</si>
  <si>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</si>
  <si>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</si>
  <si>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</si>
  <si>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</si>
  <si>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</si>
  <si>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</si>
  <si>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</si>
  <si>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</si>
  <si>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</si>
  <si>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</si>
  <si>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</si>
  <si>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</si>
  <si>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</si>
  <si>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</si>
  <si>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</si>
  <si>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</si>
  <si>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</si>
  <si>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</si>
  <si>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</si>
  <si>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</si>
  <si>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</si>
  <si>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</si>
  <si>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</si>
  <si>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</si>
  <si>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</si>
  <si>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</si>
  <si>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</si>
  <si>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</si>
  <si>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</si>
  <si>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</si>
  <si>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</si>
  <si>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</si>
  <si>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</si>
  <si>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</si>
  <si>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</si>
  <si>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</si>
  <si>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</si>
  <si>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</si>
  <si>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</si>
  <si>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</si>
  <si>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</si>
  <si>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</si>
  <si>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</si>
  <si>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</si>
  <si>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</si>
  <si>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</si>
  <si>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</si>
  <si>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</si>
  <si>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</si>
  <si>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</si>
  <si>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</si>
  <si>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</si>
  <si>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</si>
  <si>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</si>
  <si>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</si>
  <si>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</si>
  <si>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</si>
  <si>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</si>
  <si>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</si>
  <si>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</si>
  <si>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</si>
  <si>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</si>
  <si>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</si>
  <si>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</si>
  <si>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</si>
  <si>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</si>
  <si>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</si>
  <si>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</si>
  <si>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</si>
  <si>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</si>
  <si>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</si>
  <si>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</si>
  <si>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</si>
  <si>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</si>
  <si>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</si>
  <si>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</si>
  <si>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</si>
  <si>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</si>
  <si>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</si>
  <si>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</si>
  <si>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</si>
  <si>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</si>
  <si>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</si>
  <si>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</si>
  <si>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</si>
  <si>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</si>
  <si>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</si>
  <si>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</si>
  <si>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</si>
  <si>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</si>
  <si>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</si>
  <si>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</si>
  <si>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</si>
  <si>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</si>
  <si>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</si>
  <si>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</si>
  <si>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</si>
  <si>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</si>
  <si>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</si>
  <si>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</si>
  <si>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</si>
  <si>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</si>
  <si>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</si>
  <si>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</si>
  <si>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</si>
  <si>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</si>
  <si>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</si>
  <si>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</si>
  <si>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</si>
  <si>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</si>
  <si>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</si>
  <si>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</si>
  <si>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</si>
  <si>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</si>
  <si>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</si>
  <si>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</si>
  <si>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</si>
  <si>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</si>
  <si>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</si>
  <si>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</si>
  <si>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</si>
  <si>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</si>
  <si>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</si>
  <si>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</si>
  <si>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</si>
  <si>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</si>
  <si>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</si>
  <si>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</si>
  <si>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</si>
  <si>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</si>
  <si>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</si>
  <si>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</si>
  <si>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</si>
  <si>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</si>
  <si>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</si>
  <si>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</si>
  <si>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</si>
  <si>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</si>
  <si>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</si>
  <si>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</si>
  <si>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</si>
  <si>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</si>
  <si>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</si>
  <si>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</si>
  <si>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</si>
  <si>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</si>
  <si>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</si>
  <si>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</si>
  <si>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</si>
  <si>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</si>
  <si>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</si>
  <si>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</si>
  <si>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</si>
  <si>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</si>
  <si>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</si>
  <si>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</si>
  <si>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</si>
  <si>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</si>
  <si>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</si>
  <si>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</si>
  <si>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</si>
  <si>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</si>
  <si>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</si>
  <si>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</si>
  <si>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</si>
  <si>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</si>
  <si>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</si>
  <si>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</si>
  <si>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</si>
  <si>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</si>
  <si>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</si>
  <si>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</si>
  <si>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</si>
  <si>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</si>
  <si>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</si>
  <si>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</si>
  <si>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</si>
  <si>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</si>
  <si>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</si>
  <si>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</si>
  <si>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</si>
  <si>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</si>
  <si>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</si>
  <si>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</si>
  <si>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</si>
  <si>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</si>
  <si>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</si>
  <si>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</si>
  <si>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</si>
  <si>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</si>
  <si>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</si>
  <si>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</si>
  <si>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</si>
  <si>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</si>
  <si>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</si>
  <si>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</si>
  <si>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</si>
  <si>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</si>
  <si>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</si>
  <si>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</si>
  <si>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</si>
  <si>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</si>
  <si>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</si>
  <si>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</si>
  <si>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</si>
  <si>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</si>
  <si>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</si>
  <si>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</si>
  <si>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</si>
  <si>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</si>
  <si>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</si>
  <si>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</si>
  <si>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</si>
  <si>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</si>
  <si>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</si>
  <si>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</si>
  <si>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</si>
  <si>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</si>
  <si>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</si>
  <si>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</si>
  <si>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</si>
  <si>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</si>
  <si>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</si>
  <si>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</si>
  <si>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</si>
  <si>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</si>
  <si>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</si>
  <si>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</si>
  <si>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</si>
  <si>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</si>
  <si>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</si>
  <si>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</si>
  <si>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</si>
  <si>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</si>
  <si>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</si>
  <si>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</si>
  <si>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</si>
  <si>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</si>
  <si>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</si>
  <si>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</si>
  <si>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</si>
  <si>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</si>
  <si>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</si>
  <si>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</si>
  <si>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</si>
  <si>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</si>
  <si>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</si>
  <si>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</si>
  <si>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</si>
  <si>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</si>
  <si>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</si>
  <si>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</si>
  <si>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</si>
  <si>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</si>
  <si>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</si>
  <si>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</si>
  <si>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</si>
  <si>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</si>
  <si>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</si>
  <si>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</si>
  <si>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</si>
  <si>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</si>
  <si>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</si>
  <si>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</si>
  <si>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</si>
  <si>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</si>
  <si>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</si>
  <si>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</si>
  <si>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</si>
  <si>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</si>
  <si>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</si>
  <si>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</si>
  <si>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</si>
  <si>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</si>
  <si>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</si>
  <si>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</si>
  <si>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</si>
  <si>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</si>
  <si>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</si>
  <si>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</si>
  <si>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</si>
  <si>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</si>
  <si>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</si>
  <si>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</si>
  <si>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</si>
  <si>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</si>
  <si>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</si>
  <si>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</si>
  <si>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</si>
  <si>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</si>
  <si>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</si>
  <si>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</si>
  <si>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</si>
  <si>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</si>
  <si>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</si>
  <si>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</si>
  <si>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</si>
  <si>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</si>
  <si>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</si>
  <si>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</si>
  <si>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</si>
  <si>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</si>
  <si>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</si>
  <si>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</si>
  <si>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</si>
  <si>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</si>
  <si>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</si>
  <si>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</si>
  <si>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</si>
  <si>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</si>
  <si>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</si>
  <si>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</si>
  <si>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</si>
  <si>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</si>
  <si>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</si>
  <si>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</si>
  <si>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</si>
  <si>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</si>
  <si>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</si>
  <si>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</si>
  <si>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</si>
  <si>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</si>
  <si>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</si>
  <si>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</si>
  <si>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</si>
  <si>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</si>
  <si>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</si>
  <si>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</si>
  <si>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</si>
  <si>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</si>
  <si>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</si>
  <si>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</si>
  <si>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</si>
  <si>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</si>
  <si>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</si>
  <si>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</si>
  <si>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</si>
  <si>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</si>
  <si>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</si>
  <si>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</si>
  <si>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</si>
  <si>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</si>
  <si>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</si>
  <si>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</si>
  <si>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</si>
  <si>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</si>
  <si>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</si>
  <si>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</si>
  <si>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</si>
  <si>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</si>
  <si>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</si>
  <si>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</si>
  <si>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</si>
  <si>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</si>
  <si>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</si>
  <si>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</si>
  <si>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</si>
  <si>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</si>
  <si>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</si>
  <si>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</si>
  <si>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</si>
  <si>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</si>
  <si>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</si>
  <si>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</si>
  <si>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</si>
  <si>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</si>
  <si>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</si>
  <si>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</si>
  <si>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</si>
  <si>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</si>
  <si>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</si>
  <si>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</si>
  <si>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</si>
  <si>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</si>
  <si>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</si>
  <si>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</si>
  <si>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</si>
  <si>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</si>
  <si>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</si>
  <si>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</si>
  <si>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</si>
  <si>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</si>
  <si>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</si>
  <si>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</si>
  <si>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</si>
  <si>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</si>
  <si>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</si>
  <si>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</si>
  <si>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6/06</t>
  </si>
  <si>
    <t>11/14</t>
  </si>
  <si>
    <t>07/26</t>
  </si>
  <si>
    <t>07/29</t>
  </si>
  <si>
    <t>CARES sheet technology related equipment is also 700 for all functions reported twice (remove one if necessary)</t>
  </si>
  <si>
    <t xml:space="preserve">                                                                                                                                                      </t>
  </si>
  <si>
    <t>Portion of SPSRF funds were used by Food Service (Coronavirus Relief Fund)</t>
  </si>
  <si>
    <t>Includes Charter School Sped Diff. Aid $2,976.06</t>
  </si>
  <si>
    <t>P/Y Audit Net Audit Adjustment Receivable Write-offs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</si>
</sst>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2" fillId="41" borderId="0" xfId="43" applyNumberFormat="1" applyFill="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8"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935</v>
      </c>
      <c r="B2" s="21">
        <v>41</v>
      </c>
      <c r="C2" s="21">
        <v>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2844362.72+294869.48+23433.08+1822.34</f>
        <v>3164487.62</v>
      </c>
      <c r="G9" s="18">
        <v>110</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v>5119940.12</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f>167329.26+3092.41+16416.13</f>
        <v>186837.80000000002</v>
      </c>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f>16285.53+51380.33</f>
        <v>67665.86</v>
      </c>
      <c r="G13" s="18">
        <f>48286.07+28.17</f>
        <v>48314.239999999998</v>
      </c>
      <c r="H13" s="18">
        <v>278473.76</v>
      </c>
      <c r="I13" s="18"/>
      <c r="J13" s="67">
        <f>SUM(I443)</f>
        <v>8626.65</v>
      </c>
      <c r="K13" s="24" t="s">
        <v>288</v>
      </c>
      <c r="L13" s="24" t="s">
        <v>288</v>
      </c>
      <c r="M13" s="8"/>
      <c r="N13" s="264"/>
    </row>
    <row r="14" spans="1:14" s="3" customFormat="1" ht="12.2" customHeight="1" x14ac:dyDescent="0.15">
      <c r="A14" s="1" t="s">
        <v>565</v>
      </c>
      <c r="B14" s="2" t="s">
        <v>289</v>
      </c>
      <c r="C14" s="6">
        <v>6</v>
      </c>
      <c r="D14" s="2" t="s">
        <v>428</v>
      </c>
      <c r="E14" s="6">
        <v>150</v>
      </c>
      <c r="F14" s="18">
        <f>19825.01+123504.1</f>
        <v>143329.11000000002</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v>73142.87</v>
      </c>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f>29157.5</f>
        <v>29157.5</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8597723.0800000001</v>
      </c>
      <c r="G19" s="41">
        <f>SUM(G9:G18)</f>
        <v>235262.04</v>
      </c>
      <c r="H19" s="41">
        <f>SUM(H9:H18)</f>
        <v>278473.76</v>
      </c>
      <c r="I19" s="41">
        <f>SUM(I9:I18)</f>
        <v>0</v>
      </c>
      <c r="J19" s="41">
        <f>SUM(J9:J18)</f>
        <v>8626.65</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t="s">
        <v>286</v>
      </c>
      <c r="G22" s="18"/>
      <c r="H22" s="18">
        <f>274646.45-18604.63</f>
        <v>256041.82</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442633.11-231.39</f>
        <v>442401.72</v>
      </c>
      <c r="G24" s="18">
        <v>3092.41</v>
      </c>
      <c r="H24" s="18">
        <v>7475.56</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2779905.37+11311.69-1867.92+73484.34+9332.46+68688.66+485774.45-754.9+5187.15+289.77+2594.93-200+230</f>
        <v>3433976.0000000005</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f>101855+9555+150-4687.97</f>
        <v>106872.03</v>
      </c>
      <c r="G30" s="18">
        <v>157260.20000000001</v>
      </c>
      <c r="H30" s="18">
        <v>14956.38</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3983249.7500000005</v>
      </c>
      <c r="G32" s="41">
        <f>SUM(G22:G31)</f>
        <v>160352.61000000002</v>
      </c>
      <c r="H32" s="41">
        <f>SUM(H22:H31)</f>
        <v>278473.76</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73142.87</v>
      </c>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29157.5</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8626.65</v>
      </c>
      <c r="K48" s="24" t="s">
        <v>288</v>
      </c>
      <c r="L48" s="24" t="s">
        <v>288</v>
      </c>
      <c r="M48" s="8"/>
      <c r="N48" s="264"/>
    </row>
    <row r="49" spans="1:14" s="3" customFormat="1" ht="12.2" customHeight="1" x14ac:dyDescent="0.15">
      <c r="A49" s="1" t="s">
        <v>859</v>
      </c>
      <c r="B49" s="2" t="s">
        <v>289</v>
      </c>
      <c r="C49" s="6">
        <v>34</v>
      </c>
      <c r="D49" s="2"/>
      <c r="E49" s="6">
        <v>753</v>
      </c>
      <c r="F49" s="18">
        <v>671345.17</v>
      </c>
      <c r="G49" s="18">
        <f>74909.43</f>
        <v>74909.429999999993</v>
      </c>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4006621.56-165793.18-0.59</f>
        <v>3840827.79</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4614473.33</v>
      </c>
      <c r="G51" s="41">
        <f>SUM(G35:G50)</f>
        <v>74909.429999999993</v>
      </c>
      <c r="H51" s="41">
        <f>SUM(H35:H50)</f>
        <v>0</v>
      </c>
      <c r="I51" s="41">
        <f>SUM(I35:I50)</f>
        <v>0</v>
      </c>
      <c r="J51" s="41">
        <f>SUM(J35:J50)</f>
        <v>8626.65</v>
      </c>
      <c r="K51" s="45" t="s">
        <v>288</v>
      </c>
      <c r="L51" s="45" t="s">
        <v>288</v>
      </c>
      <c r="N51" s="262"/>
    </row>
    <row r="52" spans="1:14" s="3" customFormat="1" ht="12.2" customHeight="1" thickTop="1" x14ac:dyDescent="0.15">
      <c r="A52" s="38" t="s">
        <v>455</v>
      </c>
      <c r="B52" s="39" t="s">
        <v>289</v>
      </c>
      <c r="C52" s="6">
        <v>37</v>
      </c>
      <c r="D52" s="39" t="s">
        <v>653</v>
      </c>
      <c r="E52" s="39"/>
      <c r="F52" s="41">
        <f>F51+F32</f>
        <v>8597723.0800000001</v>
      </c>
      <c r="G52" s="41">
        <f>G51+G32</f>
        <v>235262.04</v>
      </c>
      <c r="H52" s="41">
        <f>H51+H32</f>
        <v>278473.76</v>
      </c>
      <c r="I52" s="41">
        <f>I51+I32</f>
        <v>0</v>
      </c>
      <c r="J52" s="41">
        <f>J51+J32</f>
        <v>8626.65</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52001396.98+0.02</f>
        <v>52001397</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52001397</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f>211669.38+33735+34500</f>
        <v>279904.38</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48870</v>
      </c>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4875</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607681.57999999996</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941330.96</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965.02</v>
      </c>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f>200278.98-70.25-73.65-25.7</f>
        <v>200109.38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24470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f>2525+8779.46</f>
        <v>11304.46</v>
      </c>
      <c r="G102" s="18"/>
      <c r="H102" s="18" t="s">
        <v>286</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6146.64</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198813+1312.5+4910+15119.46+0.03+9934.15</f>
        <v>230089.13999999998</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272975.26</v>
      </c>
      <c r="G111" s="41">
        <f>SUM(G96:G110)</f>
        <v>200109.38</v>
      </c>
      <c r="H111" s="41">
        <f>SUM(H96:H110)</f>
        <v>0</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53215703.219999999</v>
      </c>
      <c r="G112" s="41">
        <f>G60+G111</f>
        <v>200109.38</v>
      </c>
      <c r="H112" s="41">
        <f>H60+H79+H94+H111</f>
        <v>0</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9576558.5999999996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f>8064566.04-0.04</f>
        <v>8064566</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f>15723.56-12747.5</f>
        <v>2976.0599999999995</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17644100.66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497717.3</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932772.65</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6518.76</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v>17665</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21610.07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13912.07</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1450920.78</v>
      </c>
      <c r="G136" s="41">
        <f>SUM(G123:G135)</f>
        <v>21610.07</v>
      </c>
      <c r="H136" s="41">
        <f>SUM(H123:H135)</f>
        <v>17665</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12747.5</v>
      </c>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19107768.940000001</v>
      </c>
      <c r="G140" s="41">
        <f>G121+SUM(G136:G137)</f>
        <v>21610.07</v>
      </c>
      <c r="H140" s="41">
        <f>H121+SUM(H136:H139)</f>
        <v>17665</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81829.2+19862.51</f>
        <v>101691.70999999999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26652.92+9359.02+15056.64+49584.41+24162+2433+8710.76+1369.28</f>
        <v>137328.03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630824.92000000004</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8027.5+4668.82+8392.5+22259.87+519493.47+159314.5+13164.73+155.75+92653.25+11872.33+3126.5</f>
        <v>843129.21999999986</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f>334381.25+16285.53</f>
        <v>350666.78</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v>26365.31</v>
      </c>
      <c r="H161" s="18">
        <f>876200-26365.31</f>
        <v>849834.69</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37788.03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350666.78</v>
      </c>
      <c r="G163" s="41">
        <f>SUM(G150:G162)</f>
        <v>657190.2300000001</v>
      </c>
      <c r="H163" s="41">
        <f>SUM(H150:H162)</f>
        <v>1969771.68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350666.78</v>
      </c>
      <c r="G170" s="41">
        <f>G147+G163+SUM(G164:G169)</f>
        <v>657190.2300000001</v>
      </c>
      <c r="H170" s="41">
        <f>H147+H163+SUM(H164:H169)</f>
        <v>1969771.68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f>70.25+73.65+25.7+27219.02</f>
        <v>27388.62</v>
      </c>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v>0</v>
      </c>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27388.62</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27388.62</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72674138.939999998</v>
      </c>
      <c r="G194" s="47">
        <f>G112+G140+G170+G193</f>
        <v>906298.30000000016</v>
      </c>
      <c r="H194" s="47">
        <f>H112+H140+H170+H193</f>
        <v>1987436.68</v>
      </c>
      <c r="I194" s="47">
        <f>I112+I140+I170+I193</f>
        <v>0</v>
      </c>
      <c r="J194" s="47">
        <f>J112+J140+J193</f>
        <v>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8799579.99+508460.56+0.49</f>
        <v>9308041.040000001</v>
      </c>
      <c r="G198" s="18">
        <f>2555151.24+102832.01+141392.65+2156689.71</f>
        <v>4956065.6099999994</v>
      </c>
      <c r="H198" s="18">
        <f>400+100+48003.9</f>
        <v>48503.9</v>
      </c>
      <c r="I198" s="18">
        <f>227.48+314390.45+3092.88</f>
        <v>317710.81</v>
      </c>
      <c r="J198" s="18">
        <f>8779.46+892.48+46382.81</f>
        <v>56054.75</v>
      </c>
      <c r="K198" s="18"/>
      <c r="L198" s="19">
        <f>SUM(F198:K198)</f>
        <v>14686376.110000001</v>
      </c>
      <c r="M198" s="8"/>
      <c r="N198" s="264"/>
    </row>
    <row r="199" spans="1:14" s="3" customFormat="1" ht="12.2" customHeight="1" x14ac:dyDescent="0.15">
      <c r="A199" s="1" t="s">
        <v>439</v>
      </c>
      <c r="B199" s="2" t="s">
        <v>341</v>
      </c>
      <c r="C199" s="2" t="s">
        <v>291</v>
      </c>
      <c r="D199" s="2" t="s">
        <v>431</v>
      </c>
      <c r="E199" s="6">
        <v>1200</v>
      </c>
      <c r="F199" s="18">
        <f>3950146.84+252578.75</f>
        <v>4202725.59</v>
      </c>
      <c r="G199" s="18">
        <f>1147069.95+73345.5+64281.29+727197.56</f>
        <v>2011894.3</v>
      </c>
      <c r="H199" s="18">
        <f>400+597979.09-33417.75</f>
        <v>564961.34</v>
      </c>
      <c r="I199" s="18">
        <f>470.5+279.3+25430.07+4641.91</f>
        <v>30821.78</v>
      </c>
      <c r="J199" s="18"/>
      <c r="K199" s="18">
        <v>2902.27</v>
      </c>
      <c r="L199" s="19">
        <f>SUM(F199:K199)</f>
        <v>6813305.2799999993</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20367.75</v>
      </c>
      <c r="G201" s="18">
        <f>5914.52+5183.59</f>
        <v>11098.11</v>
      </c>
      <c r="H201" s="18"/>
      <c r="I201" s="18"/>
      <c r="J201" s="18"/>
      <c r="K201" s="18"/>
      <c r="L201" s="19">
        <f>SUM(F201:K201)</f>
        <v>31465.86</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1226285.44+35117.21</f>
        <v>1261402.6499999999</v>
      </c>
      <c r="G203" s="18">
        <f>356096.93+10197.57+8937.33+273071.41</f>
        <v>648303.24</v>
      </c>
      <c r="H203" s="18">
        <f>1292.9+661113.66+34390.72</f>
        <v>696797.28</v>
      </c>
      <c r="I203" s="18">
        <f>216.49+14239.77+8255.62</f>
        <v>22711.88</v>
      </c>
      <c r="J203" s="18">
        <v>2176.2600000000002</v>
      </c>
      <c r="K203" s="18"/>
      <c r="L203" s="19">
        <f t="shared" ref="L203:L209" si="0">SUM(F203:K203)</f>
        <v>2631391.3099999996</v>
      </c>
      <c r="M203" s="8"/>
      <c r="N203" s="264"/>
    </row>
    <row r="204" spans="1:14" s="3" customFormat="1" ht="12.2" customHeight="1" x14ac:dyDescent="0.15">
      <c r="A204" s="1" t="s">
        <v>443</v>
      </c>
      <c r="B204" s="2" t="s">
        <v>341</v>
      </c>
      <c r="C204" s="2" t="s">
        <v>295</v>
      </c>
      <c r="D204" s="2" t="s">
        <v>431</v>
      </c>
      <c r="E204" s="6">
        <v>2200</v>
      </c>
      <c r="F204" s="18">
        <v>296703.42</v>
      </c>
      <c r="G204" s="18">
        <f>77928.44+63934.8</f>
        <v>141863.24</v>
      </c>
      <c r="H204" s="18">
        <f>171.5+1275.94+8153.74+17334.68+102.9</f>
        <v>27038.760000000002</v>
      </c>
      <c r="I204" s="18">
        <f>225.65+43867.25+8827.35</f>
        <v>52920.25</v>
      </c>
      <c r="J204" s="18">
        <f>1074.72+140609.85</f>
        <v>141684.57</v>
      </c>
      <c r="K204" s="18">
        <v>8329.76</v>
      </c>
      <c r="L204" s="19">
        <f t="shared" si="0"/>
        <v>668540</v>
      </c>
      <c r="M204" s="8"/>
      <c r="N204" s="264"/>
    </row>
    <row r="205" spans="1:14" s="3" customFormat="1" ht="12.2" customHeight="1" x14ac:dyDescent="0.15">
      <c r="A205" s="1" t="s">
        <v>444</v>
      </c>
      <c r="B205" s="2" t="s">
        <v>341</v>
      </c>
      <c r="C205" s="2" t="s">
        <v>296</v>
      </c>
      <c r="D205" s="2" t="s">
        <v>431</v>
      </c>
      <c r="E205" s="6">
        <v>2300</v>
      </c>
      <c r="F205" s="18">
        <v>448768.34</v>
      </c>
      <c r="G205" s="18">
        <f>129385.77+93756.98</f>
        <v>223142.75</v>
      </c>
      <c r="H205" s="18">
        <f>3626+30126.08+2865.46+6079</f>
        <v>42696.54</v>
      </c>
      <c r="I205" s="18">
        <v>9373.5400000000009</v>
      </c>
      <c r="J205" s="18">
        <v>9855.39</v>
      </c>
      <c r="K205" s="18">
        <v>15062.27</v>
      </c>
      <c r="L205" s="19">
        <f t="shared" si="0"/>
        <v>748898.83000000019</v>
      </c>
      <c r="M205" s="8"/>
      <c r="N205" s="264"/>
    </row>
    <row r="206" spans="1:14" s="3" customFormat="1" ht="12.2" customHeight="1" x14ac:dyDescent="0.15">
      <c r="A206" s="1" t="s">
        <v>445</v>
      </c>
      <c r="B206" s="2" t="s">
        <v>341</v>
      </c>
      <c r="C206" s="2" t="s">
        <v>297</v>
      </c>
      <c r="D206" s="2" t="s">
        <v>431</v>
      </c>
      <c r="E206" s="6">
        <v>2400</v>
      </c>
      <c r="F206" s="18">
        <f>1139737.84+241235.61</f>
        <v>1380973.4500000002</v>
      </c>
      <c r="G206" s="18">
        <f>330964.66+70051.6+24516.57+241403.09</f>
        <v>666935.92000000004</v>
      </c>
      <c r="H206" s="18">
        <v>10453.709999999999</v>
      </c>
      <c r="I206" s="18">
        <f>8460.38+3898.16</f>
        <v>12358.539999999999</v>
      </c>
      <c r="J206" s="18">
        <v>1300.95</v>
      </c>
      <c r="K206" s="18">
        <v>8701</v>
      </c>
      <c r="L206" s="19">
        <f t="shared" si="0"/>
        <v>2080723.57</v>
      </c>
      <c r="M206" s="8"/>
      <c r="N206" s="264"/>
    </row>
    <row r="207" spans="1:14" s="3" customFormat="1" ht="12.2" customHeight="1" x14ac:dyDescent="0.15">
      <c r="A207" s="1" t="s">
        <v>446</v>
      </c>
      <c r="B207" s="2" t="s">
        <v>341</v>
      </c>
      <c r="C207" s="2" t="s">
        <v>298</v>
      </c>
      <c r="D207" s="2" t="s">
        <v>431</v>
      </c>
      <c r="E207" s="6">
        <v>2500</v>
      </c>
      <c r="F207" s="18">
        <v>133104.64000000001</v>
      </c>
      <c r="G207" s="18">
        <f>38651.81+28733.11</f>
        <v>67384.92</v>
      </c>
      <c r="H207" s="18">
        <f>161582.02+4375.92</f>
        <v>165957.94</v>
      </c>
      <c r="I207" s="18"/>
      <c r="J207" s="18">
        <v>0</v>
      </c>
      <c r="K207" s="18">
        <v>813.27</v>
      </c>
      <c r="L207" s="19">
        <f t="shared" si="0"/>
        <v>367260.77</v>
      </c>
      <c r="M207" s="8"/>
      <c r="N207" s="264"/>
    </row>
    <row r="208" spans="1:14" s="3" customFormat="1" ht="12.2" customHeight="1" x14ac:dyDescent="0.15">
      <c r="A208" s="1" t="s">
        <v>447</v>
      </c>
      <c r="B208" s="2" t="s">
        <v>341</v>
      </c>
      <c r="C208" s="2" t="s">
        <v>299</v>
      </c>
      <c r="D208" s="2" t="s">
        <v>431</v>
      </c>
      <c r="E208" s="6">
        <v>2600</v>
      </c>
      <c r="F208" s="18">
        <f>592160.79+266872.29</f>
        <v>859033.08000000007</v>
      </c>
      <c r="G208" s="18">
        <f>171955.59+53547.44+54132.05+111444.66</f>
        <v>391079.74</v>
      </c>
      <c r="H208" s="18">
        <f>7039.52+119086.59+602066.76+108191.23+0.46+41552.43</f>
        <v>877936.99</v>
      </c>
      <c r="I208" s="18">
        <f>2260.01+416823.18+120233.2</f>
        <v>539316.39</v>
      </c>
      <c r="J208" s="18">
        <v>16457.59</v>
      </c>
      <c r="K208" s="18">
        <v>414.79</v>
      </c>
      <c r="L208" s="19">
        <f t="shared" si="0"/>
        <v>2684238.58</v>
      </c>
      <c r="M208" s="8"/>
      <c r="N208" s="264"/>
    </row>
    <row r="209" spans="1:14" s="3" customFormat="1" ht="12.2" customHeight="1" x14ac:dyDescent="0.15">
      <c r="A209" s="1" t="s">
        <v>448</v>
      </c>
      <c r="B209" s="2" t="s">
        <v>341</v>
      </c>
      <c r="C209" s="2" t="s">
        <v>300</v>
      </c>
      <c r="D209" s="2" t="s">
        <v>431</v>
      </c>
      <c r="E209" s="6">
        <v>2700</v>
      </c>
      <c r="F209" s="18">
        <v>31918.12</v>
      </c>
      <c r="G209" s="18">
        <f>6899.81+5095.81</f>
        <v>11995.62</v>
      </c>
      <c r="H209" s="18">
        <v>1617959.43</v>
      </c>
      <c r="I209" s="18"/>
      <c r="J209" s="18"/>
      <c r="K209" s="18"/>
      <c r="L209" s="19">
        <f t="shared" si="0"/>
        <v>1661873.17</v>
      </c>
      <c r="M209" s="8"/>
      <c r="N209" s="264"/>
    </row>
    <row r="210" spans="1:14" s="3" customFormat="1" ht="12.2" customHeight="1" x14ac:dyDescent="0.15">
      <c r="A210" s="1" t="s">
        <v>449</v>
      </c>
      <c r="B210" s="2" t="s">
        <v>341</v>
      </c>
      <c r="C210" s="2" t="s">
        <v>343</v>
      </c>
      <c r="D210" s="2" t="s">
        <v>431</v>
      </c>
      <c r="E210" s="6">
        <v>2800</v>
      </c>
      <c r="F210" s="18"/>
      <c r="G210" s="18"/>
      <c r="H210" s="18">
        <f>15350.57+5136.6</f>
        <v>20487.169999999998</v>
      </c>
      <c r="I210" s="18">
        <v>1237.25</v>
      </c>
      <c r="J210" s="18"/>
      <c r="K210" s="18"/>
      <c r="L210" s="19">
        <f>SUM(F210:K210)</f>
        <v>21724.42</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17943038.080000002</v>
      </c>
      <c r="G212" s="41">
        <f t="shared" si="1"/>
        <v>9129763.4499999993</v>
      </c>
      <c r="H212" s="41">
        <f t="shared" si="1"/>
        <v>4072793.0599999996</v>
      </c>
      <c r="I212" s="41">
        <f t="shared" si="1"/>
        <v>986450.44</v>
      </c>
      <c r="J212" s="41">
        <f t="shared" si="1"/>
        <v>227529.51000000004</v>
      </c>
      <c r="K212" s="41">
        <f t="shared" si="1"/>
        <v>36223.360000000001</v>
      </c>
      <c r="L212" s="41">
        <f t="shared" si="1"/>
        <v>32395797.900000006</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3528695.92+166027.94+0.17</f>
        <v>3694724.03</v>
      </c>
      <c r="G216" s="18">
        <f>1024686.22+33577.8+46169.03+876407.13</f>
        <v>1980840.1800000002</v>
      </c>
      <c r="H216" s="18">
        <f>7175+20061.68</f>
        <v>27236.68</v>
      </c>
      <c r="I216" s="18">
        <f>123125.55+1009.92</f>
        <v>124135.47</v>
      </c>
      <c r="J216" s="18">
        <v>5038.53</v>
      </c>
      <c r="K216" s="18"/>
      <c r="L216" s="19">
        <f>SUM(F216:K216)</f>
        <v>5831974.8899999997</v>
      </c>
      <c r="M216" s="8"/>
      <c r="N216" s="264"/>
    </row>
    <row r="217" spans="1:14" s="3" customFormat="1" ht="12.2" customHeight="1" x14ac:dyDescent="0.15">
      <c r="A217" s="1" t="s">
        <v>439</v>
      </c>
      <c r="B217" s="2" t="s">
        <v>346</v>
      </c>
      <c r="C217" s="2" t="s">
        <v>291</v>
      </c>
      <c r="D217" s="2" t="s">
        <v>431</v>
      </c>
      <c r="E217" s="6">
        <v>1200</v>
      </c>
      <c r="F217" s="18">
        <f>1129254.01+82474.69</f>
        <v>1211728.7</v>
      </c>
      <c r="G217" s="18">
        <f>327920.3+23949.55+20989.81+225576.14</f>
        <v>598435.80000000005</v>
      </c>
      <c r="H217" s="18">
        <v>188333.31</v>
      </c>
      <c r="I217" s="18">
        <f>91.2+5268.2+1515.72</f>
        <v>6875.12</v>
      </c>
      <c r="J217" s="18"/>
      <c r="K217" s="18">
        <v>947.68</v>
      </c>
      <c r="L217" s="19">
        <f>SUM(F217:K217)</f>
        <v>2006320.61</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110157.12</v>
      </c>
      <c r="G219" s="18">
        <f>30002.75+28034.99</f>
        <v>58037.740000000005</v>
      </c>
      <c r="H219" s="18">
        <f>11428.5+9627.44-9627.44</f>
        <v>11428.500000000002</v>
      </c>
      <c r="I219" s="18">
        <v>18815.32</v>
      </c>
      <c r="J219" s="18"/>
      <c r="K219" s="18">
        <v>275</v>
      </c>
      <c r="L219" s="19">
        <f>SUM(F219:K219)</f>
        <v>198713.68</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405327.64+11466.84</f>
        <v>416794.48000000004</v>
      </c>
      <c r="G221" s="18">
        <f>117701.74+3329.82+2918.31+97047.87</f>
        <v>220997.74</v>
      </c>
      <c r="H221" s="18">
        <f>978.75+84925.97+11229.62</f>
        <v>97134.34</v>
      </c>
      <c r="I221" s="18">
        <f>70.69+3552.18+2695.71</f>
        <v>6318.58</v>
      </c>
      <c r="J221" s="18">
        <v>710.62</v>
      </c>
      <c r="K221" s="18"/>
      <c r="L221" s="19">
        <f t="shared" ref="L221:L227" si="2">SUM(F221:K221)</f>
        <v>741955.75999999989</v>
      </c>
      <c r="M221" s="8"/>
      <c r="N221" s="264"/>
    </row>
    <row r="222" spans="1:14" s="3" customFormat="1" ht="12.2" customHeight="1" x14ac:dyDescent="0.15">
      <c r="A222" s="1" t="s">
        <v>443</v>
      </c>
      <c r="B222" s="2" t="s">
        <v>346</v>
      </c>
      <c r="C222" s="2" t="s">
        <v>295</v>
      </c>
      <c r="D222" s="2" t="s">
        <v>431</v>
      </c>
      <c r="E222" s="6">
        <v>2200</v>
      </c>
      <c r="F222" s="18">
        <v>96882.75</v>
      </c>
      <c r="G222" s="18">
        <f>27655.43+25446.02+20876.67</f>
        <v>73978.12</v>
      </c>
      <c r="H222" s="18">
        <f>56+2662.45+5660.3+33.6</f>
        <v>8412.35</v>
      </c>
      <c r="I222" s="18">
        <f>1500+15140.8+2882.4</f>
        <v>19523.2</v>
      </c>
      <c r="J222" s="18">
        <v>45913.42</v>
      </c>
      <c r="K222" s="18">
        <v>2719.92</v>
      </c>
      <c r="L222" s="19">
        <f t="shared" si="2"/>
        <v>247429.76000000004</v>
      </c>
      <c r="M222" s="8"/>
      <c r="N222" s="264"/>
    </row>
    <row r="223" spans="1:14" s="3" customFormat="1" ht="12.2" customHeight="1" x14ac:dyDescent="0.15">
      <c r="A223" s="1" t="s">
        <v>444</v>
      </c>
      <c r="B223" s="2" t="s">
        <v>346</v>
      </c>
      <c r="C223" s="2" t="s">
        <v>296</v>
      </c>
      <c r="D223" s="2" t="s">
        <v>431</v>
      </c>
      <c r="E223" s="6">
        <v>2300</v>
      </c>
      <c r="F223" s="18">
        <v>146536.6</v>
      </c>
      <c r="G223" s="18">
        <f>42248.41+30614.52</f>
        <v>72862.930000000008</v>
      </c>
      <c r="H223" s="18">
        <f>1184+9837.09+935.66+1984.98</f>
        <v>13941.73</v>
      </c>
      <c r="I223" s="18">
        <v>3060.75</v>
      </c>
      <c r="J223" s="18">
        <v>3218.09</v>
      </c>
      <c r="K223" s="18">
        <v>4918.29</v>
      </c>
      <c r="L223" s="19">
        <f t="shared" si="2"/>
        <v>244538.39000000004</v>
      </c>
      <c r="M223" s="8"/>
      <c r="N223" s="264"/>
    </row>
    <row r="224" spans="1:14" s="3" customFormat="1" ht="12.2" customHeight="1" x14ac:dyDescent="0.15">
      <c r="A224" s="1" t="s">
        <v>445</v>
      </c>
      <c r="B224" s="2" t="s">
        <v>346</v>
      </c>
      <c r="C224" s="2" t="s">
        <v>297</v>
      </c>
      <c r="D224" s="2" t="s">
        <v>431</v>
      </c>
      <c r="E224" s="6">
        <v>2400</v>
      </c>
      <c r="F224" s="18">
        <f>426906.64+78770.81</f>
        <v>505677.45</v>
      </c>
      <c r="G224" s="18">
        <f>123967.99+22873.99+8005.41+103772.61</f>
        <v>258620</v>
      </c>
      <c r="H224" s="18">
        <v>351.28</v>
      </c>
      <c r="I224" s="18">
        <f>2028.23+1272.87</f>
        <v>3301.1</v>
      </c>
      <c r="J224" s="18">
        <v>424.8</v>
      </c>
      <c r="K224" s="18">
        <v>2712</v>
      </c>
      <c r="L224" s="19">
        <f t="shared" si="2"/>
        <v>771086.63</v>
      </c>
      <c r="M224" s="8"/>
      <c r="N224" s="264"/>
    </row>
    <row r="225" spans="1:14" s="3" customFormat="1" ht="12.2" customHeight="1" x14ac:dyDescent="0.15">
      <c r="A225" s="1" t="s">
        <v>446</v>
      </c>
      <c r="B225" s="2" t="s">
        <v>346</v>
      </c>
      <c r="C225" s="2" t="s">
        <v>298</v>
      </c>
      <c r="D225" s="2" t="s">
        <v>431</v>
      </c>
      <c r="E225" s="6">
        <v>2500</v>
      </c>
      <c r="F225" s="18">
        <v>43462.74</v>
      </c>
      <c r="G225" s="18">
        <f>12621+9382.24</f>
        <v>22003.239999999998</v>
      </c>
      <c r="H225" s="18">
        <f>52761.48+1428.87</f>
        <v>54190.350000000006</v>
      </c>
      <c r="I225" s="18"/>
      <c r="J225" s="18"/>
      <c r="K225" s="18">
        <v>265.56</v>
      </c>
      <c r="L225" s="19">
        <f t="shared" si="2"/>
        <v>119921.89</v>
      </c>
      <c r="M225" s="8"/>
      <c r="N225" s="264"/>
    </row>
    <row r="226" spans="1:14" s="3" customFormat="1" ht="12.2" customHeight="1" x14ac:dyDescent="0.15">
      <c r="A226" s="1" t="s">
        <v>447</v>
      </c>
      <c r="B226" s="2" t="s">
        <v>346</v>
      </c>
      <c r="C226" s="2" t="s">
        <v>299</v>
      </c>
      <c r="D226" s="2" t="s">
        <v>431</v>
      </c>
      <c r="E226" s="6">
        <v>2600</v>
      </c>
      <c r="F226" s="18">
        <f>155156.84+87141.97</f>
        <v>242298.81</v>
      </c>
      <c r="G226" s="18">
        <f>17484.88+17675.77+29200.52+45055.48</f>
        <v>109416.65</v>
      </c>
      <c r="H226" s="18">
        <f>5271.51+2298.62+38885.42+196593.23+35327.75+1.14-0.01+13568.14</f>
        <v>291945.80000000005</v>
      </c>
      <c r="I226" s="18">
        <f>737.96+39259.82</f>
        <v>39997.78</v>
      </c>
      <c r="J226" s="18">
        <v>5372.91</v>
      </c>
      <c r="K226" s="18">
        <v>135.44</v>
      </c>
      <c r="L226" s="19">
        <f t="shared" si="2"/>
        <v>689167.39</v>
      </c>
      <c r="M226" s="8"/>
      <c r="N226" s="264"/>
    </row>
    <row r="227" spans="1:14" s="3" customFormat="1" ht="12.2" customHeight="1" x14ac:dyDescent="0.15">
      <c r="A227" s="1" t="s">
        <v>448</v>
      </c>
      <c r="B227" s="2" t="s">
        <v>346</v>
      </c>
      <c r="C227" s="2" t="s">
        <v>300</v>
      </c>
      <c r="D227" s="2" t="s">
        <v>431</v>
      </c>
      <c r="E227" s="6">
        <v>2700</v>
      </c>
      <c r="F227" s="18">
        <v>10422.24</v>
      </c>
      <c r="G227" s="18">
        <f>2253+1663.94</f>
        <v>3916.94</v>
      </c>
      <c r="H227" s="18">
        <f>10701.55+9627.44+528313.28+0.01</f>
        <v>548642.28</v>
      </c>
      <c r="I227" s="18"/>
      <c r="J227" s="18"/>
      <c r="K227" s="18"/>
      <c r="L227" s="19">
        <f t="shared" si="2"/>
        <v>562981.46000000008</v>
      </c>
      <c r="M227" s="8"/>
      <c r="N227" s="264"/>
    </row>
    <row r="228" spans="1:14" s="3" customFormat="1" ht="12.2" customHeight="1" x14ac:dyDescent="0.15">
      <c r="A228" s="1" t="s">
        <v>449</v>
      </c>
      <c r="B228" s="2" t="s">
        <v>346</v>
      </c>
      <c r="C228" s="2" t="s">
        <v>343</v>
      </c>
      <c r="D228" s="2" t="s">
        <v>431</v>
      </c>
      <c r="E228" s="6">
        <v>2800</v>
      </c>
      <c r="F228" s="18"/>
      <c r="G228" s="18"/>
      <c r="H228" s="18">
        <f>5012.43+1677.26</f>
        <v>6689.6900000000005</v>
      </c>
      <c r="I228" s="18">
        <v>404</v>
      </c>
      <c r="J228" s="18"/>
      <c r="K228" s="18"/>
      <c r="L228" s="19">
        <f>SUM(F228:K228)</f>
        <v>7093.6900000000005</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6478684.9199999999</v>
      </c>
      <c r="G230" s="41">
        <f>SUM(G216:G229)</f>
        <v>3399109.3400000012</v>
      </c>
      <c r="H230" s="41">
        <f>SUM(H216:H229)</f>
        <v>1248306.31</v>
      </c>
      <c r="I230" s="41">
        <f>SUM(I216:I229)</f>
        <v>222431.32</v>
      </c>
      <c r="J230" s="41">
        <f>SUM(J216:J229)</f>
        <v>60678.37000000001</v>
      </c>
      <c r="K230" s="41">
        <f t="shared" si="3"/>
        <v>11973.89</v>
      </c>
      <c r="L230" s="41">
        <f t="shared" si="3"/>
        <v>11421184.150000002</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6587811.49+363186.12+0.34</f>
        <v>6950997.9500000002</v>
      </c>
      <c r="G234" s="18">
        <f>1913012.58+73451.44+101017.01+1670451.25</f>
        <v>3757932.2800000003</v>
      </c>
      <c r="H234" s="18">
        <f>2618.69+5815+36822.16</f>
        <v>45255.850000000006</v>
      </c>
      <c r="I234" s="18">
        <f>3346.97+2641.8+174815.71+2209.2</f>
        <v>183013.68</v>
      </c>
      <c r="J234" s="18">
        <v>24925.37</v>
      </c>
      <c r="K234" s="18">
        <v>23929.97</v>
      </c>
      <c r="L234" s="19">
        <f>SUM(F234:K234)</f>
        <v>10986055.1</v>
      </c>
      <c r="M234" s="8"/>
      <c r="N234" s="264"/>
    </row>
    <row r="235" spans="1:14" s="3" customFormat="1" ht="12.2" customHeight="1" x14ac:dyDescent="0.15">
      <c r="A235" s="1" t="s">
        <v>439</v>
      </c>
      <c r="B235" s="2" t="s">
        <v>350</v>
      </c>
      <c r="C235" s="2" t="s">
        <v>291</v>
      </c>
      <c r="D235" s="2" t="s">
        <v>431</v>
      </c>
      <c r="E235" s="6">
        <v>1200</v>
      </c>
      <c r="F235" s="18">
        <f>1752408.56+180413.39</f>
        <v>1932821.9500000002</v>
      </c>
      <c r="G235" s="18">
        <f>508876.07+52389.64+45915.21+317485.23</f>
        <v>924666.14999999991</v>
      </c>
      <c r="H235" s="18">
        <f>12650+1601732.69-6386.5</f>
        <v>1607996.19</v>
      </c>
      <c r="I235" s="18">
        <f>199.5+9971.76+3315.65</f>
        <v>13486.91</v>
      </c>
      <c r="J235" s="18"/>
      <c r="K235" s="18">
        <v>2073.0500000000002</v>
      </c>
      <c r="L235" s="19">
        <f>SUM(F235:K235)</f>
        <v>4481044.25</v>
      </c>
      <c r="M235" s="8"/>
      <c r="N235" s="264"/>
    </row>
    <row r="236" spans="1:14" s="3" customFormat="1" ht="12.2" customHeight="1" x14ac:dyDescent="0.15">
      <c r="A236" s="1" t="s">
        <v>440</v>
      </c>
      <c r="B236" s="2" t="s">
        <v>350</v>
      </c>
      <c r="C236" s="2" t="s">
        <v>292</v>
      </c>
      <c r="D236" s="2" t="s">
        <v>431</v>
      </c>
      <c r="E236" s="6">
        <v>1300</v>
      </c>
      <c r="F236" s="18"/>
      <c r="G236" s="18">
        <v>0</v>
      </c>
      <c r="H236" s="18">
        <f>37191.78+47589.54</f>
        <v>84781.32</v>
      </c>
      <c r="I236" s="18"/>
      <c r="J236" s="18"/>
      <c r="K236" s="18"/>
      <c r="L236" s="19">
        <f>SUM(F236:K236)</f>
        <v>84781.32</v>
      </c>
      <c r="M236" s="8"/>
      <c r="N236" s="264"/>
    </row>
    <row r="237" spans="1:14" s="3" customFormat="1" ht="12.2" customHeight="1" x14ac:dyDescent="0.15">
      <c r="A237" s="1" t="s">
        <v>441</v>
      </c>
      <c r="B237" s="2" t="s">
        <v>350</v>
      </c>
      <c r="C237" s="2" t="s">
        <v>293</v>
      </c>
      <c r="D237" s="2" t="s">
        <v>431</v>
      </c>
      <c r="E237" s="6">
        <v>1400</v>
      </c>
      <c r="F237" s="18">
        <f>532387.9+125</f>
        <v>532512.9</v>
      </c>
      <c r="G237" s="18">
        <f>131663.23+9.56+135492.72</f>
        <v>267165.51</v>
      </c>
      <c r="H237" s="18">
        <f>66885.5+71551.23+64582.58-64582.58</f>
        <v>138436.72999999998</v>
      </c>
      <c r="I237" s="18">
        <f>670.64+82419.87</f>
        <v>83090.509999999995</v>
      </c>
      <c r="J237" s="18">
        <v>6865.6</v>
      </c>
      <c r="K237" s="18">
        <v>29828.58</v>
      </c>
      <c r="L237" s="19">
        <f>SUM(F237:K237)</f>
        <v>1057899.83</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717468.13+25083.72</f>
        <v>742551.85</v>
      </c>
      <c r="G239" s="18">
        <f>208343.17+7283.98+6383.81+167551.23</f>
        <v>389562.19000000006</v>
      </c>
      <c r="H239" s="18">
        <f>5307.3+360243.63+24564.8</f>
        <v>390115.73</v>
      </c>
      <c r="I239" s="18">
        <f>154.64+14849.01+5896.87</f>
        <v>20900.52</v>
      </c>
      <c r="J239" s="18">
        <v>1554.47</v>
      </c>
      <c r="K239" s="18"/>
      <c r="L239" s="19">
        <f t="shared" ref="L239:L245" si="4">SUM(F239:K239)</f>
        <v>1544684.76</v>
      </c>
      <c r="M239" s="8"/>
      <c r="N239" s="264"/>
    </row>
    <row r="240" spans="1:14" s="3" customFormat="1" ht="12.2" customHeight="1" x14ac:dyDescent="0.15">
      <c r="A240" s="1" t="s">
        <v>443</v>
      </c>
      <c r="B240" s="2" t="s">
        <v>350</v>
      </c>
      <c r="C240" s="2" t="s">
        <v>295</v>
      </c>
      <c r="D240" s="2" t="s">
        <v>431</v>
      </c>
      <c r="E240" s="6">
        <v>2200</v>
      </c>
      <c r="F240" s="18">
        <v>211931.02</v>
      </c>
      <c r="G240" s="18">
        <f>60496.26+55663.17+45667.71</f>
        <v>161827.13999999998</v>
      </c>
      <c r="H240" s="18">
        <f>122.5+5824.1+12381.91+73.5</f>
        <v>18402.010000000002</v>
      </c>
      <c r="I240" s="18">
        <f>29340.12+6305.25</f>
        <v>35645.369999999995</v>
      </c>
      <c r="J240" s="18">
        <v>100435</v>
      </c>
      <c r="K240" s="18">
        <v>5949.83</v>
      </c>
      <c r="L240" s="19">
        <f t="shared" si="4"/>
        <v>534190.37</v>
      </c>
      <c r="M240" s="8"/>
      <c r="N240" s="264"/>
    </row>
    <row r="241" spans="1:14" s="3" customFormat="1" ht="12.2" customHeight="1" x14ac:dyDescent="0.15">
      <c r="A241" s="1" t="s">
        <v>444</v>
      </c>
      <c r="B241" s="2" t="s">
        <v>350</v>
      </c>
      <c r="C241" s="2" t="s">
        <v>296</v>
      </c>
      <c r="D241" s="2" t="s">
        <v>431</v>
      </c>
      <c r="E241" s="6">
        <v>2300</v>
      </c>
      <c r="F241" s="18">
        <v>320548.81</v>
      </c>
      <c r="G241" s="18">
        <f>92418.4+68104.65</f>
        <v>160523.04999999999</v>
      </c>
      <c r="H241" s="18">
        <f>2590+21518.63+2046.75+4342.14</f>
        <v>30497.52</v>
      </c>
      <c r="I241" s="18">
        <v>6695.39</v>
      </c>
      <c r="J241" s="18">
        <v>7039.57</v>
      </c>
      <c r="K241" s="18">
        <v>10758.77</v>
      </c>
      <c r="L241" s="19">
        <f t="shared" si="4"/>
        <v>536063.11</v>
      </c>
      <c r="M241" s="8"/>
      <c r="N241" s="264"/>
    </row>
    <row r="242" spans="1:14" s="3" customFormat="1" ht="12.2" customHeight="1" x14ac:dyDescent="0.15">
      <c r="A242" s="1" t="s">
        <v>445</v>
      </c>
      <c r="B242" s="2" t="s">
        <v>350</v>
      </c>
      <c r="C242" s="2" t="s">
        <v>297</v>
      </c>
      <c r="D242" s="2" t="s">
        <v>431</v>
      </c>
      <c r="E242" s="6">
        <v>2400</v>
      </c>
      <c r="F242" s="18">
        <f>1160380.02+172311.15</f>
        <v>1332691.17</v>
      </c>
      <c r="G242" s="18">
        <f>336958.88+50036.86+17717.29+277461.8</f>
        <v>682174.83</v>
      </c>
      <c r="H242" s="18">
        <f>14287.5+2135.58+6773.21</f>
        <v>23196.29</v>
      </c>
      <c r="I242" s="18">
        <f>683.29+2784.4</f>
        <v>3467.69</v>
      </c>
      <c r="J242" s="18">
        <f>1709+929.25</f>
        <v>2638.25</v>
      </c>
      <c r="K242" s="18">
        <f>315+34724.29</f>
        <v>35039.29</v>
      </c>
      <c r="L242" s="19">
        <f t="shared" si="4"/>
        <v>2079207.52</v>
      </c>
      <c r="M242" s="8"/>
      <c r="N242" s="264"/>
    </row>
    <row r="243" spans="1:14" s="3" customFormat="1" ht="12.2" customHeight="1" x14ac:dyDescent="0.15">
      <c r="A243" s="1" t="s">
        <v>446</v>
      </c>
      <c r="B243" s="2" t="s">
        <v>350</v>
      </c>
      <c r="C243" s="2" t="s">
        <v>298</v>
      </c>
      <c r="D243" s="2" t="s">
        <v>431</v>
      </c>
      <c r="E243" s="6">
        <v>2500</v>
      </c>
      <c r="F243" s="18">
        <v>95074.74</v>
      </c>
      <c r="G243" s="18">
        <f>27608.44+20817.26</f>
        <v>48425.7</v>
      </c>
      <c r="H243" s="18">
        <f>115415.73+3125.65</f>
        <v>118541.37999999999</v>
      </c>
      <c r="I243" s="18"/>
      <c r="J243" s="18"/>
      <c r="K243" s="18">
        <v>580.91</v>
      </c>
      <c r="L243" s="19">
        <f t="shared" si="4"/>
        <v>262622.73</v>
      </c>
      <c r="M243" s="8"/>
      <c r="N243" s="264"/>
    </row>
    <row r="244" spans="1:14" s="3" customFormat="1" ht="12.2" customHeight="1" x14ac:dyDescent="0.15">
      <c r="A244" s="1" t="s">
        <v>447</v>
      </c>
      <c r="B244" s="2" t="s">
        <v>350</v>
      </c>
      <c r="C244" s="2" t="s">
        <v>299</v>
      </c>
      <c r="D244" s="2" t="s">
        <v>431</v>
      </c>
      <c r="E244" s="6">
        <v>2600</v>
      </c>
      <c r="F244" s="18">
        <f>206062.2+190623.07</f>
        <v>396685.27</v>
      </c>
      <c r="G244" s="18">
        <f>59837.71+38248.17+39675.95+39873.04</f>
        <v>177634.87000000002</v>
      </c>
      <c r="H244" s="18">
        <f>8640.56+5028.23+85061.85+430047.68+77279.45-0.9+0.01+29680.31</f>
        <v>635737.18999999994</v>
      </c>
      <c r="I244" s="18">
        <f>1614.29+314155.43+85880.86</f>
        <v>401650.57999999996</v>
      </c>
      <c r="J244" s="18">
        <f>11755.42+0.9</f>
        <v>11756.32</v>
      </c>
      <c r="K244" s="18">
        <v>296.27999999999997</v>
      </c>
      <c r="L244" s="19">
        <f t="shared" si="4"/>
        <v>1623760.5100000002</v>
      </c>
      <c r="M244" s="8"/>
      <c r="N244" s="264"/>
    </row>
    <row r="245" spans="1:14" s="3" customFormat="1" ht="12.2" customHeight="1" x14ac:dyDescent="0.15">
      <c r="A245" s="1" t="s">
        <v>448</v>
      </c>
      <c r="B245" s="2" t="s">
        <v>350</v>
      </c>
      <c r="C245" s="2" t="s">
        <v>300</v>
      </c>
      <c r="D245" s="2" t="s">
        <v>431</v>
      </c>
      <c r="E245" s="6">
        <v>2700</v>
      </c>
      <c r="F245" s="18">
        <v>22798.66</v>
      </c>
      <c r="G245" s="18">
        <f>4928.43+3729.82</f>
        <v>8658.25</v>
      </c>
      <c r="H245" s="18">
        <f>64582.58+1155685.31-0.01</f>
        <v>1220267.8800000001</v>
      </c>
      <c r="I245" s="18"/>
      <c r="J245" s="18"/>
      <c r="K245" s="18"/>
      <c r="L245" s="19">
        <f t="shared" si="4"/>
        <v>1251724.79</v>
      </c>
      <c r="M245" s="8"/>
      <c r="N245" s="264"/>
    </row>
    <row r="246" spans="1:14" s="3" customFormat="1" ht="12.2" customHeight="1" x14ac:dyDescent="0.15">
      <c r="A246" s="1" t="s">
        <v>449</v>
      </c>
      <c r="B246" s="2" t="s">
        <v>350</v>
      </c>
      <c r="C246" s="2" t="s">
        <v>343</v>
      </c>
      <c r="D246" s="2" t="s">
        <v>431</v>
      </c>
      <c r="E246" s="6">
        <v>2800</v>
      </c>
      <c r="F246" s="18"/>
      <c r="G246" s="18"/>
      <c r="H246" s="18">
        <f>10964.69+3669</f>
        <v>14633.69</v>
      </c>
      <c r="I246" s="18">
        <v>883.75</v>
      </c>
      <c r="J246" s="18"/>
      <c r="K246" s="18"/>
      <c r="L246" s="19">
        <f>SUM(F246:K246)</f>
        <v>15517.44</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12538614.32</v>
      </c>
      <c r="G248" s="41">
        <f t="shared" si="5"/>
        <v>6578569.9699999997</v>
      </c>
      <c r="H248" s="41">
        <f t="shared" si="5"/>
        <v>4327861.78</v>
      </c>
      <c r="I248" s="41">
        <f t="shared" si="5"/>
        <v>748834.39999999991</v>
      </c>
      <c r="J248" s="41">
        <f t="shared" si="5"/>
        <v>155214.58000000002</v>
      </c>
      <c r="K248" s="41">
        <f t="shared" si="5"/>
        <v>108456.68000000002</v>
      </c>
      <c r="L248" s="41">
        <f t="shared" si="5"/>
        <v>24457551.730000004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1393.16</v>
      </c>
      <c r="G252" s="18"/>
      <c r="H252" s="18"/>
      <c r="I252" s="18"/>
      <c r="J252" s="18"/>
      <c r="K252" s="18"/>
      <c r="L252" s="19">
        <f t="shared" si="6"/>
        <v>1393.16</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793052</v>
      </c>
      <c r="I256" s="18"/>
      <c r="J256" s="18"/>
      <c r="K256" s="18"/>
      <c r="L256" s="19">
        <f t="shared" si="6"/>
        <v>793052</v>
      </c>
      <c r="M256" s="8"/>
      <c r="N256" s="264"/>
    </row>
    <row r="257" spans="1:14" s="3" customFormat="1" ht="12.2" customHeight="1" thickTop="1" thickBot="1" x14ac:dyDescent="0.2">
      <c r="A257" s="38" t="s">
        <v>461</v>
      </c>
      <c r="B257" s="40">
        <v>10</v>
      </c>
      <c r="C257" s="40">
        <v>7</v>
      </c>
      <c r="D257" s="39" t="s">
        <v>431</v>
      </c>
      <c r="E257" s="40"/>
      <c r="F257" s="41">
        <f t="shared" ref="F257:K257" si="7">SUM(F251:F256)</f>
        <v>1393.16</v>
      </c>
      <c r="G257" s="41">
        <f t="shared" si="7"/>
        <v>0</v>
      </c>
      <c r="H257" s="41">
        <f t="shared" si="7"/>
        <v>793052</v>
      </c>
      <c r="I257" s="41">
        <f t="shared" si="7"/>
        <v>0</v>
      </c>
      <c r="J257" s="41">
        <f t="shared" si="7"/>
        <v>0</v>
      </c>
      <c r="K257" s="41">
        <f t="shared" si="7"/>
        <v>0</v>
      </c>
      <c r="L257" s="41">
        <f>SUM(F257:K257)</f>
        <v>794445.16</v>
      </c>
      <c r="M257" s="8"/>
      <c r="N257" s="264"/>
    </row>
    <row r="258" spans="1:14" s="3" customFormat="1" ht="12.2" customHeight="1" thickTop="1" x14ac:dyDescent="0.15">
      <c r="A258" s="38" t="s">
        <v>462</v>
      </c>
      <c r="B258" s="40">
        <v>10</v>
      </c>
      <c r="C258" s="40">
        <v>8</v>
      </c>
      <c r="D258" s="39" t="s">
        <v>431</v>
      </c>
      <c r="E258" s="40"/>
      <c r="F258" s="41">
        <f t="shared" ref="F258:L258" si="8">F212+F230+F248+F257</f>
        <v>36961730.479999997</v>
      </c>
      <c r="G258" s="41">
        <f t="shared" si="8"/>
        <v>19107442.760000002</v>
      </c>
      <c r="H258" s="41">
        <f t="shared" si="8"/>
        <v>10442013.149999999</v>
      </c>
      <c r="I258" s="41">
        <f t="shared" si="8"/>
        <v>1957716.16</v>
      </c>
      <c r="J258" s="41">
        <f t="shared" si="8"/>
        <v>443422.46000000008</v>
      </c>
      <c r="K258" s="41">
        <f t="shared" si="8"/>
        <v>156653.93000000002</v>
      </c>
      <c r="L258" s="41">
        <f t="shared" si="8"/>
        <v>69068978.940000013</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1845000</v>
      </c>
      <c r="L261" s="19">
        <f>SUM(F261:K261)</f>
        <v>1845000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1066490</v>
      </c>
      <c r="L262" s="19">
        <f>SUM(F262:K262)</f>
        <v>1066490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169.6+27219.02</f>
        <v>27388.62</v>
      </c>
      <c r="L264" s="19">
        <f>SUM(F264:K264)</f>
        <v>27388.62</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f>33417.75+6386.5</f>
        <v>39804.25</v>
      </c>
      <c r="L269" s="19">
        <f t="shared" si="9"/>
        <v>39804.25</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2978682.87</v>
      </c>
      <c r="L271" s="41">
        <f t="shared" si="9"/>
        <v>2978682.87</v>
      </c>
      <c r="M271" s="8"/>
      <c r="N271" s="264"/>
    </row>
    <row r="272" spans="1:14" s="34" customFormat="1" ht="12.2" customHeight="1" thickTop="1" x14ac:dyDescent="0.2">
      <c r="A272" s="43" t="s">
        <v>464</v>
      </c>
      <c r="B272" s="40">
        <v>10</v>
      </c>
      <c r="C272" s="40">
        <v>18</v>
      </c>
      <c r="D272" s="39" t="s">
        <v>431</v>
      </c>
      <c r="E272" s="40"/>
      <c r="F272" s="42">
        <f t="shared" ref="F272:L272" si="11">F258+F271</f>
        <v>36961730.479999997</v>
      </c>
      <c r="G272" s="42">
        <f t="shared" si="11"/>
        <v>19107442.760000002</v>
      </c>
      <c r="H272" s="42">
        <f t="shared" si="11"/>
        <v>10442013.149999999</v>
      </c>
      <c r="I272" s="42">
        <f t="shared" si="11"/>
        <v>1957716.16</v>
      </c>
      <c r="J272" s="42">
        <f t="shared" si="11"/>
        <v>443422.46000000008</v>
      </c>
      <c r="K272" s="42">
        <f t="shared" si="11"/>
        <v>3135336.8000000003</v>
      </c>
      <c r="L272" s="42">
        <f t="shared" si="11"/>
        <v>72047661.810000017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107708.48+4161.52</f>
        <v>111870</v>
      </c>
      <c r="G277" s="18">
        <v>6128.9</v>
      </c>
      <c r="H277" s="18">
        <v>490</v>
      </c>
      <c r="I277" s="18">
        <f>15608.8+2159.03</f>
        <v>17767.829999999998</v>
      </c>
      <c r="J277" s="18"/>
      <c r="K277" s="18"/>
      <c r="L277" s="19">
        <f>SUM(F277:K277)</f>
        <v>136256.72999999998</v>
      </c>
      <c r="M277" s="8"/>
      <c r="N277" s="264"/>
    </row>
    <row r="278" spans="1:14" s="3" customFormat="1" ht="12.2" customHeight="1" x14ac:dyDescent="0.15">
      <c r="A278" s="1" t="s">
        <v>439</v>
      </c>
      <c r="B278" s="2" t="s">
        <v>357</v>
      </c>
      <c r="C278" s="2" t="s">
        <v>291</v>
      </c>
      <c r="D278" s="2" t="s">
        <v>431</v>
      </c>
      <c r="E278" s="6">
        <v>1200</v>
      </c>
      <c r="F278" s="18">
        <f>21143.35+264708</f>
        <v>285851.34999999998</v>
      </c>
      <c r="G278" s="18"/>
      <c r="H278" s="18">
        <f>1120+30652.37+1470</f>
        <v>33242.369999999995</v>
      </c>
      <c r="I278" s="18">
        <f>193.87+406.77+3559.85</f>
        <v>4160.49</v>
      </c>
      <c r="J278" s="18">
        <f>1080.07+16462.55</f>
        <v>17542.62</v>
      </c>
      <c r="K278" s="18"/>
      <c r="L278" s="19">
        <f>SUM(F278:K278)</f>
        <v>340796.82999999996</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107128.67</v>
      </c>
      <c r="G282" s="18"/>
      <c r="H282" s="18">
        <f>39078+2401</f>
        <v>41479</v>
      </c>
      <c r="I282" s="18">
        <f>64.71+364.47+2327.5</f>
        <v>2756.68</v>
      </c>
      <c r="J282" s="18"/>
      <c r="K282" s="18"/>
      <c r="L282" s="19">
        <f t="shared" ref="L282:L288" si="12">SUM(F282:K282)</f>
        <v>151364.34999999998</v>
      </c>
      <c r="M282" s="8"/>
      <c r="N282" s="264"/>
    </row>
    <row r="283" spans="1:14" s="3" customFormat="1" ht="12.2" customHeight="1" x14ac:dyDescent="0.15">
      <c r="A283" s="1" t="s">
        <v>443</v>
      </c>
      <c r="B283" s="2" t="s">
        <v>357</v>
      </c>
      <c r="C283" s="2" t="s">
        <v>295</v>
      </c>
      <c r="D283" s="2" t="s">
        <v>431</v>
      </c>
      <c r="E283" s="6">
        <v>2200</v>
      </c>
      <c r="F283" s="18">
        <v>88403.520000000004</v>
      </c>
      <c r="G283" s="18">
        <v>13798.55</v>
      </c>
      <c r="H283" s="18">
        <f>494+7387.61+5429.98+1192.17</f>
        <v>14503.76</v>
      </c>
      <c r="I283" s="18">
        <f>11560+131.95+58.82</f>
        <v>11750.77</v>
      </c>
      <c r="J283" s="18">
        <f>94.46+76440.96</f>
        <v>76535.420000000013</v>
      </c>
      <c r="K283" s="18"/>
      <c r="L283" s="19">
        <f t="shared" si="12"/>
        <v>204992.02000000002</v>
      </c>
      <c r="M283" s="8"/>
      <c r="N283" s="264"/>
    </row>
    <row r="284" spans="1:14" s="3" customFormat="1" ht="12.2" customHeight="1" x14ac:dyDescent="0.15">
      <c r="A284" s="1" t="s">
        <v>444</v>
      </c>
      <c r="B284" s="2" t="s">
        <v>357</v>
      </c>
      <c r="C284" s="2" t="s">
        <v>296</v>
      </c>
      <c r="D284" s="2" t="s">
        <v>431</v>
      </c>
      <c r="E284" s="6">
        <v>2300</v>
      </c>
      <c r="F284" s="18">
        <v>1500</v>
      </c>
      <c r="G284" s="18">
        <v>381.75</v>
      </c>
      <c r="H284" s="18">
        <v>68.599999999999994</v>
      </c>
      <c r="I284" s="18">
        <v>50.56</v>
      </c>
      <c r="J284" s="18">
        <v>380.96</v>
      </c>
      <c r="K284" s="18">
        <v>2143.66</v>
      </c>
      <c r="L284" s="19">
        <f t="shared" si="12"/>
        <v>4525.53</v>
      </c>
      <c r="M284" s="8"/>
      <c r="N284" s="264"/>
    </row>
    <row r="285" spans="1:14" s="3" customFormat="1" ht="12.2" customHeight="1" x14ac:dyDescent="0.15">
      <c r="A285" s="1" t="s">
        <v>445</v>
      </c>
      <c r="B285" s="2" t="s">
        <v>357</v>
      </c>
      <c r="C285" s="2" t="s">
        <v>297</v>
      </c>
      <c r="D285" s="2" t="s">
        <v>431</v>
      </c>
      <c r="E285" s="6">
        <v>2400</v>
      </c>
      <c r="F285" s="18"/>
      <c r="G285" s="18"/>
      <c r="H285" s="18"/>
      <c r="I285" s="18">
        <v>231.5</v>
      </c>
      <c r="J285" s="18">
        <v>7303.08</v>
      </c>
      <c r="K285" s="18"/>
      <c r="L285" s="19">
        <f t="shared" si="12"/>
        <v>7534.58</v>
      </c>
      <c r="M285" s="8"/>
      <c r="N285" s="264"/>
    </row>
    <row r="286" spans="1:14" s="3" customFormat="1" ht="12.2" customHeight="1" x14ac:dyDescent="0.15">
      <c r="A286" s="1" t="s">
        <v>446</v>
      </c>
      <c r="B286" s="2" t="s">
        <v>357</v>
      </c>
      <c r="C286" s="2" t="s">
        <v>298</v>
      </c>
      <c r="D286" s="2" t="s">
        <v>431</v>
      </c>
      <c r="E286" s="6">
        <v>2500</v>
      </c>
      <c r="F286" s="18"/>
      <c r="G286" s="18"/>
      <c r="H286" s="18">
        <v>13389.83</v>
      </c>
      <c r="I286" s="18"/>
      <c r="J286" s="18"/>
      <c r="K286" s="18"/>
      <c r="L286" s="19">
        <f t="shared" si="12"/>
        <v>13389.83</v>
      </c>
      <c r="M286" s="8"/>
      <c r="N286" s="264"/>
    </row>
    <row r="287" spans="1:14" s="3" customFormat="1" ht="12.2" customHeight="1" x14ac:dyDescent="0.15">
      <c r="A287" s="1" t="s">
        <v>447</v>
      </c>
      <c r="B287" s="2" t="s">
        <v>357</v>
      </c>
      <c r="C287" s="2" t="s">
        <v>299</v>
      </c>
      <c r="D287" s="2" t="s">
        <v>431</v>
      </c>
      <c r="E287" s="6">
        <v>2600</v>
      </c>
      <c r="F287" s="18"/>
      <c r="G287" s="18"/>
      <c r="H287" s="18">
        <f>14161.98+6808.06+90.11+857.89</f>
        <v>21918.04</v>
      </c>
      <c r="I287" s="18">
        <v>93281.47</v>
      </c>
      <c r="J287" s="18"/>
      <c r="K287" s="18"/>
      <c r="L287" s="19">
        <f t="shared" si="12"/>
        <v>115199.51000000001</v>
      </c>
      <c r="M287" s="8"/>
      <c r="N287" s="264"/>
    </row>
    <row r="288" spans="1:14" s="3" customFormat="1" ht="12.2" customHeight="1" x14ac:dyDescent="0.15">
      <c r="A288" s="1" t="s">
        <v>448</v>
      </c>
      <c r="B288" s="2" t="s">
        <v>357</v>
      </c>
      <c r="C288" s="2" t="s">
        <v>300</v>
      </c>
      <c r="D288" s="2" t="s">
        <v>431</v>
      </c>
      <c r="E288" s="6">
        <v>2700</v>
      </c>
      <c r="F288" s="18"/>
      <c r="G288" s="18"/>
      <c r="H288" s="18">
        <v>48176.800000000003</v>
      </c>
      <c r="I288" s="18"/>
      <c r="J288" s="18"/>
      <c r="K288" s="18"/>
      <c r="L288" s="19">
        <f t="shared" si="12"/>
        <v>48176.800000000003</v>
      </c>
      <c r="M288" s="8"/>
      <c r="N288" s="264"/>
    </row>
    <row r="289" spans="1:14" s="3" customFormat="1" ht="12.2" customHeight="1" x14ac:dyDescent="0.15">
      <c r="A289" s="1" t="s">
        <v>449</v>
      </c>
      <c r="B289" s="2" t="s">
        <v>357</v>
      </c>
      <c r="C289" s="2" t="s">
        <v>343</v>
      </c>
      <c r="D289" s="2" t="s">
        <v>431</v>
      </c>
      <c r="E289" s="6">
        <v>2800</v>
      </c>
      <c r="F289" s="18"/>
      <c r="G289" s="18"/>
      <c r="H289" s="18">
        <v>625.20000000000005</v>
      </c>
      <c r="I289" s="18"/>
      <c r="J289" s="18"/>
      <c r="K289" s="18"/>
      <c r="L289" s="19">
        <f>SUM(F289:K289)</f>
        <v>625.20000000000005</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594753.53999999992</v>
      </c>
      <c r="G291" s="42">
        <f t="shared" si="13"/>
        <v>20309.199999999997</v>
      </c>
      <c r="H291" s="42">
        <f t="shared" si="13"/>
        <v>173893.60000000003</v>
      </c>
      <c r="I291" s="42">
        <f t="shared" si="13"/>
        <v>129999.3</v>
      </c>
      <c r="J291" s="42">
        <f t="shared" si="13"/>
        <v>101762.08000000002</v>
      </c>
      <c r="K291" s="42">
        <f t="shared" si="13"/>
        <v>2143.66</v>
      </c>
      <c r="L291" s="41">
        <f t="shared" si="13"/>
        <v>1022861.3799999999</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1358.86</v>
      </c>
      <c r="G296" s="18"/>
      <c r="H296" s="18">
        <v>1950</v>
      </c>
      <c r="I296" s="18">
        <f>8682.63-1950+704.99</f>
        <v>7437.619999999999</v>
      </c>
      <c r="J296" s="18"/>
      <c r="K296" s="18"/>
      <c r="L296" s="19">
        <f>SUM(F296:K296)</f>
        <v>10746.48</v>
      </c>
      <c r="M296" s="8"/>
      <c r="N296" s="264"/>
    </row>
    <row r="297" spans="1:14" s="3" customFormat="1" ht="12.2" customHeight="1" x14ac:dyDescent="0.15">
      <c r="A297" s="1" t="s">
        <v>439</v>
      </c>
      <c r="B297" s="2" t="s">
        <v>358</v>
      </c>
      <c r="C297" s="2" t="s">
        <v>291</v>
      </c>
      <c r="D297" s="2" t="s">
        <v>431</v>
      </c>
      <c r="E297" s="6">
        <v>1200</v>
      </c>
      <c r="F297" s="18">
        <f>214.48+86435.27</f>
        <v>86649.75</v>
      </c>
      <c r="G297" s="18"/>
      <c r="H297" s="18">
        <v>480</v>
      </c>
      <c r="I297" s="18">
        <f>515.92+1442.53</f>
        <v>1958.4499999999998</v>
      </c>
      <c r="J297" s="18">
        <v>5375.53</v>
      </c>
      <c r="K297" s="18"/>
      <c r="L297" s="19">
        <f>SUM(F297:K297)</f>
        <v>94463.73</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v>225.38</v>
      </c>
      <c r="J299" s="18"/>
      <c r="K299" s="18"/>
      <c r="L299" s="19">
        <f>SUM(F299:K299)</f>
        <v>225.38</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34980.79</v>
      </c>
      <c r="G301" s="18"/>
      <c r="H301" s="18">
        <v>784</v>
      </c>
      <c r="I301" s="18">
        <f>277.34+760</f>
        <v>1037.3399999999999</v>
      </c>
      <c r="J301" s="18"/>
      <c r="K301" s="18"/>
      <c r="L301" s="19">
        <f t="shared" ref="L301:L307" si="14">SUM(F301:K301)</f>
        <v>36802.129999999997</v>
      </c>
      <c r="M301" s="8"/>
      <c r="N301" s="264"/>
    </row>
    <row r="302" spans="1:14" s="3" customFormat="1" ht="12.2" customHeight="1" x14ac:dyDescent="0.15">
      <c r="A302" s="1" t="s">
        <v>443</v>
      </c>
      <c r="B302" s="2" t="s">
        <v>358</v>
      </c>
      <c r="C302" s="2" t="s">
        <v>295</v>
      </c>
      <c r="D302" s="2" t="s">
        <v>431</v>
      </c>
      <c r="E302" s="6">
        <v>2200</v>
      </c>
      <c r="F302" s="18">
        <v>28866.46</v>
      </c>
      <c r="G302" s="18">
        <v>4505.6499999999996</v>
      </c>
      <c r="H302" s="18">
        <f>2412.28+1773.06+389.28</f>
        <v>4574.62</v>
      </c>
      <c r="I302" s="18">
        <v>19.21</v>
      </c>
      <c r="J302" s="18">
        <v>24960.31</v>
      </c>
      <c r="K302" s="18"/>
      <c r="L302" s="19">
        <f t="shared" si="14"/>
        <v>62926.25</v>
      </c>
      <c r="M302" s="8"/>
      <c r="N302" s="264"/>
    </row>
    <row r="303" spans="1:14" s="3" customFormat="1" ht="12.2" customHeight="1" x14ac:dyDescent="0.15">
      <c r="A303" s="1" t="s">
        <v>444</v>
      </c>
      <c r="B303" s="2" t="s">
        <v>358</v>
      </c>
      <c r="C303" s="2" t="s">
        <v>296</v>
      </c>
      <c r="D303" s="2" t="s">
        <v>431</v>
      </c>
      <c r="E303" s="6">
        <v>2300</v>
      </c>
      <c r="F303" s="18"/>
      <c r="G303" s="18"/>
      <c r="H303" s="18">
        <v>22.4</v>
      </c>
      <c r="I303" s="18">
        <v>16.510000000000002</v>
      </c>
      <c r="J303" s="18">
        <v>124.39</v>
      </c>
      <c r="K303" s="18">
        <v>699.97</v>
      </c>
      <c r="L303" s="19">
        <f t="shared" si="14"/>
        <v>863.27</v>
      </c>
      <c r="M303" s="8"/>
      <c r="N303" s="264"/>
    </row>
    <row r="304" spans="1:14" s="3" customFormat="1" ht="12.2" customHeight="1" x14ac:dyDescent="0.15">
      <c r="A304" s="1" t="s">
        <v>445</v>
      </c>
      <c r="B304" s="2" t="s">
        <v>358</v>
      </c>
      <c r="C304" s="2" t="s">
        <v>297</v>
      </c>
      <c r="D304" s="2" t="s">
        <v>431</v>
      </c>
      <c r="E304" s="6">
        <v>2400</v>
      </c>
      <c r="F304" s="18"/>
      <c r="G304" s="18"/>
      <c r="H304" s="18"/>
      <c r="I304" s="18"/>
      <c r="J304" s="18">
        <v>2384.6799999999998</v>
      </c>
      <c r="K304" s="18"/>
      <c r="L304" s="19">
        <f t="shared" si="14"/>
        <v>2384.6799999999998</v>
      </c>
      <c r="M304" s="8"/>
      <c r="N304" s="264"/>
    </row>
    <row r="305" spans="1:14" s="3" customFormat="1" ht="12.2" customHeight="1" x14ac:dyDescent="0.15">
      <c r="A305" s="1" t="s">
        <v>446</v>
      </c>
      <c r="B305" s="2" t="s">
        <v>358</v>
      </c>
      <c r="C305" s="2" t="s">
        <v>298</v>
      </c>
      <c r="D305" s="2" t="s">
        <v>431</v>
      </c>
      <c r="E305" s="6">
        <v>2500</v>
      </c>
      <c r="F305" s="18"/>
      <c r="G305" s="18"/>
      <c r="H305" s="18">
        <v>4372.1899999999996</v>
      </c>
      <c r="I305" s="18"/>
      <c r="J305" s="18"/>
      <c r="K305" s="18"/>
      <c r="L305" s="19">
        <f t="shared" si="14"/>
        <v>4372.1899999999996</v>
      </c>
      <c r="M305" s="8"/>
      <c r="N305" s="264"/>
    </row>
    <row r="306" spans="1:14" s="3" customFormat="1" ht="12.2" customHeight="1" x14ac:dyDescent="0.15">
      <c r="A306" s="1" t="s">
        <v>447</v>
      </c>
      <c r="B306" s="2" t="s">
        <v>358</v>
      </c>
      <c r="C306" s="2" t="s">
        <v>299</v>
      </c>
      <c r="D306" s="2" t="s">
        <v>431</v>
      </c>
      <c r="E306" s="6">
        <v>2600</v>
      </c>
      <c r="F306" s="18"/>
      <c r="G306" s="18"/>
      <c r="H306" s="18">
        <f>4624.32+2223.04+29.42</f>
        <v>6876.78</v>
      </c>
      <c r="I306" s="18">
        <v>30459.26</v>
      </c>
      <c r="J306" s="18"/>
      <c r="K306" s="18"/>
      <c r="L306" s="19">
        <f t="shared" si="14"/>
        <v>37336.04</v>
      </c>
      <c r="M306" s="8"/>
      <c r="N306" s="264"/>
    </row>
    <row r="307" spans="1:14" s="3" customFormat="1" ht="12.2" customHeight="1" x14ac:dyDescent="0.15">
      <c r="A307" s="1" t="s">
        <v>448</v>
      </c>
      <c r="B307" s="2" t="s">
        <v>358</v>
      </c>
      <c r="C307" s="2" t="s">
        <v>300</v>
      </c>
      <c r="D307" s="2" t="s">
        <v>431</v>
      </c>
      <c r="E307" s="6">
        <v>2700</v>
      </c>
      <c r="F307" s="18"/>
      <c r="G307" s="18"/>
      <c r="H307" s="18">
        <v>15731.2</v>
      </c>
      <c r="I307" s="18">
        <v>0</v>
      </c>
      <c r="J307" s="18"/>
      <c r="K307" s="18"/>
      <c r="L307" s="19">
        <f t="shared" si="14"/>
        <v>15731.2</v>
      </c>
      <c r="M307" s="8"/>
      <c r="N307" s="264"/>
    </row>
    <row r="308" spans="1:14" s="3" customFormat="1" ht="12.2" customHeight="1" x14ac:dyDescent="0.15">
      <c r="A308" s="1" t="s">
        <v>449</v>
      </c>
      <c r="B308" s="2" t="s">
        <v>358</v>
      </c>
      <c r="C308" s="2" t="s">
        <v>343</v>
      </c>
      <c r="D308" s="2" t="s">
        <v>431</v>
      </c>
      <c r="E308" s="6">
        <v>2800</v>
      </c>
      <c r="F308" s="18"/>
      <c r="G308" s="18"/>
      <c r="H308" s="18">
        <v>204.15</v>
      </c>
      <c r="I308" s="18"/>
      <c r="J308" s="18"/>
      <c r="K308" s="18"/>
      <c r="L308" s="19">
        <f>SUM(F308:K308)</f>
        <v>204.15</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151855.85999999999</v>
      </c>
      <c r="G310" s="42">
        <f t="shared" si="15"/>
        <v>4505.6499999999996</v>
      </c>
      <c r="H310" s="42">
        <f t="shared" si="15"/>
        <v>34995.340000000004</v>
      </c>
      <c r="I310" s="42">
        <f t="shared" si="15"/>
        <v>41153.769999999997</v>
      </c>
      <c r="J310" s="42">
        <f t="shared" si="15"/>
        <v>32844.909999999996</v>
      </c>
      <c r="K310" s="42">
        <f t="shared" si="15"/>
        <v>699.97</v>
      </c>
      <c r="L310" s="41">
        <f t="shared" si="15"/>
        <v>266055.5</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54.71+2972.52</f>
        <v>3027.23</v>
      </c>
      <c r="G315" s="18"/>
      <c r="H315" s="18"/>
      <c r="I315" s="18">
        <f>34736.78+1542.17</f>
        <v>36278.949999999997</v>
      </c>
      <c r="J315" s="18">
        <v>10422.75</v>
      </c>
      <c r="K315" s="18"/>
      <c r="L315" s="19">
        <f>SUM(F315:K315)</f>
        <v>49728.93</v>
      </c>
      <c r="M315" s="8"/>
      <c r="N315" s="264"/>
    </row>
    <row r="316" spans="1:14" s="3" customFormat="1" ht="12.2" customHeight="1" x14ac:dyDescent="0.15">
      <c r="A316" s="1" t="s">
        <v>439</v>
      </c>
      <c r="B316" s="2" t="s">
        <v>359</v>
      </c>
      <c r="C316" s="2" t="s">
        <v>291</v>
      </c>
      <c r="D316" s="2" t="s">
        <v>431</v>
      </c>
      <c r="E316" s="6">
        <v>1200</v>
      </c>
      <c r="F316" s="18">
        <f>165.52+189077.14</f>
        <v>189242.66</v>
      </c>
      <c r="G316" s="18"/>
      <c r="H316" s="18">
        <f>2600+1050</f>
        <v>3650</v>
      </c>
      <c r="I316" s="18">
        <f>2594.29+3155.54</f>
        <v>5749.83</v>
      </c>
      <c r="J316" s="18">
        <v>11758.96</v>
      </c>
      <c r="K316" s="18"/>
      <c r="L316" s="19">
        <f>SUM(F316:K316)</f>
        <v>210401.44999999998</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f>3347.5+3770</f>
        <v>7117.5</v>
      </c>
      <c r="I318" s="18">
        <v>7025.59</v>
      </c>
      <c r="J318" s="18"/>
      <c r="K318" s="18"/>
      <c r="L318" s="19">
        <f>SUM(F318:K318)</f>
        <v>14143.09</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76520.479999999996</v>
      </c>
      <c r="G320" s="18"/>
      <c r="H320" s="18">
        <f>54287+1715</f>
        <v>56002</v>
      </c>
      <c r="I320" s="18">
        <f>899.95+1662.5</f>
        <v>2562.4499999999998</v>
      </c>
      <c r="J320" s="18"/>
      <c r="K320" s="18"/>
      <c r="L320" s="19">
        <f t="shared" ref="L320:L326" si="16">SUM(F320:K320)</f>
        <v>135084.93</v>
      </c>
      <c r="M320" s="8"/>
      <c r="N320" s="264"/>
    </row>
    <row r="321" spans="1:14" s="3" customFormat="1" ht="12.2" customHeight="1" x14ac:dyDescent="0.15">
      <c r="A321" s="1" t="s">
        <v>443</v>
      </c>
      <c r="B321" s="2" t="s">
        <v>359</v>
      </c>
      <c r="C321" s="2" t="s">
        <v>295</v>
      </c>
      <c r="D321" s="2" t="s">
        <v>431</v>
      </c>
      <c r="E321" s="6">
        <v>2200</v>
      </c>
      <c r="F321" s="18">
        <f>645+63145.37</f>
        <v>63790.37</v>
      </c>
      <c r="G321" s="18">
        <v>9856.11</v>
      </c>
      <c r="H321" s="18">
        <f>5276.87+3878.56+851.55</f>
        <v>10006.98</v>
      </c>
      <c r="I321" s="18">
        <v>42.02</v>
      </c>
      <c r="J321" s="18">
        <v>54600.69</v>
      </c>
      <c r="K321" s="18"/>
      <c r="L321" s="19">
        <f t="shared" si="16"/>
        <v>138296.17000000001</v>
      </c>
      <c r="M321" s="8"/>
      <c r="N321" s="264"/>
    </row>
    <row r="322" spans="1:14" s="3" customFormat="1" ht="12.2" customHeight="1" x14ac:dyDescent="0.15">
      <c r="A322" s="1" t="s">
        <v>444</v>
      </c>
      <c r="B322" s="2" t="s">
        <v>359</v>
      </c>
      <c r="C322" s="2" t="s">
        <v>296</v>
      </c>
      <c r="D322" s="2" t="s">
        <v>431</v>
      </c>
      <c r="E322" s="6">
        <v>2300</v>
      </c>
      <c r="F322" s="18"/>
      <c r="G322" s="18"/>
      <c r="H322" s="18">
        <v>49</v>
      </c>
      <c r="I322" s="18">
        <v>36.119999999999997</v>
      </c>
      <c r="J322" s="18">
        <v>272.11</v>
      </c>
      <c r="K322" s="18">
        <v>1531.19</v>
      </c>
      <c r="L322" s="19">
        <f t="shared" si="16"/>
        <v>1888.42</v>
      </c>
      <c r="M322" s="8"/>
      <c r="N322" s="264"/>
    </row>
    <row r="323" spans="1:14" s="3" customFormat="1" ht="12.2" customHeight="1" x14ac:dyDescent="0.15">
      <c r="A323" s="1" t="s">
        <v>445</v>
      </c>
      <c r="B323" s="2" t="s">
        <v>359</v>
      </c>
      <c r="C323" s="2" t="s">
        <v>297</v>
      </c>
      <c r="D323" s="2" t="s">
        <v>431</v>
      </c>
      <c r="E323" s="6">
        <v>2400</v>
      </c>
      <c r="F323" s="18"/>
      <c r="G323" s="18"/>
      <c r="H323" s="18"/>
      <c r="I323" s="18"/>
      <c r="J323" s="18">
        <v>5216.49</v>
      </c>
      <c r="K323" s="18"/>
      <c r="L323" s="19">
        <f t="shared" si="16"/>
        <v>5216.49</v>
      </c>
      <c r="M323" s="8"/>
      <c r="N323" s="264"/>
    </row>
    <row r="324" spans="1:14" s="3" customFormat="1" ht="12.2" customHeight="1" x14ac:dyDescent="0.15">
      <c r="A324" s="1" t="s">
        <v>446</v>
      </c>
      <c r="B324" s="2" t="s">
        <v>359</v>
      </c>
      <c r="C324" s="2" t="s">
        <v>298</v>
      </c>
      <c r="D324" s="2" t="s">
        <v>431</v>
      </c>
      <c r="E324" s="6">
        <v>2500</v>
      </c>
      <c r="F324" s="18"/>
      <c r="G324" s="18"/>
      <c r="H324" s="18">
        <v>9564.16</v>
      </c>
      <c r="I324" s="18"/>
      <c r="J324" s="18"/>
      <c r="K324" s="18"/>
      <c r="L324" s="19">
        <f t="shared" si="16"/>
        <v>9564.16</v>
      </c>
      <c r="M324" s="8"/>
      <c r="N324" s="264"/>
    </row>
    <row r="325" spans="1:14" s="3" customFormat="1" ht="12.2" customHeight="1" x14ac:dyDescent="0.15">
      <c r="A325" s="1" t="s">
        <v>447</v>
      </c>
      <c r="B325" s="2" t="s">
        <v>359</v>
      </c>
      <c r="C325" s="2" t="s">
        <v>299</v>
      </c>
      <c r="D325" s="2" t="s">
        <v>431</v>
      </c>
      <c r="E325" s="6">
        <v>2600</v>
      </c>
      <c r="F325" s="18"/>
      <c r="G325" s="18"/>
      <c r="H325" s="18">
        <f>10115.7+4862.9+64.37</f>
        <v>15042.970000000001</v>
      </c>
      <c r="I325" s="18">
        <v>66629.62</v>
      </c>
      <c r="J325" s="18"/>
      <c r="K325" s="18"/>
      <c r="L325" s="19">
        <f t="shared" si="16"/>
        <v>81672.59</v>
      </c>
      <c r="M325" s="8"/>
      <c r="N325" s="264"/>
    </row>
    <row r="326" spans="1:14" s="3" customFormat="1" ht="12.2" customHeight="1" x14ac:dyDescent="0.15">
      <c r="A326" s="1" t="s">
        <v>448</v>
      </c>
      <c r="B326" s="2" t="s">
        <v>359</v>
      </c>
      <c r="C326" s="2" t="s">
        <v>300</v>
      </c>
      <c r="D326" s="2" t="s">
        <v>431</v>
      </c>
      <c r="E326" s="6">
        <v>2700</v>
      </c>
      <c r="F326" s="18"/>
      <c r="G326" s="18"/>
      <c r="H326" s="18">
        <v>34412</v>
      </c>
      <c r="I326" s="18"/>
      <c r="J326" s="18"/>
      <c r="K326" s="18"/>
      <c r="L326" s="19">
        <f t="shared" si="16"/>
        <v>34412</v>
      </c>
      <c r="M326" s="8"/>
      <c r="N326" s="264"/>
    </row>
    <row r="327" spans="1:14" s="3" customFormat="1" ht="12.2" customHeight="1" x14ac:dyDescent="0.15">
      <c r="A327" s="1" t="s">
        <v>449</v>
      </c>
      <c r="B327" s="2" t="s">
        <v>359</v>
      </c>
      <c r="C327" s="2" t="s">
        <v>343</v>
      </c>
      <c r="D327" s="2" t="s">
        <v>431</v>
      </c>
      <c r="E327" s="6">
        <v>2800</v>
      </c>
      <c r="F327" s="18"/>
      <c r="G327" s="18"/>
      <c r="H327" s="18">
        <v>446.57</v>
      </c>
      <c r="I327" s="18"/>
      <c r="J327" s="18"/>
      <c r="K327" s="18"/>
      <c r="L327" s="19">
        <f>SUM(F327:K327)</f>
        <v>446.57</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332580.74</v>
      </c>
      <c r="G329" s="42">
        <f t="shared" si="17"/>
        <v>9856.11</v>
      </c>
      <c r="H329" s="42">
        <f t="shared" si="17"/>
        <v>136291.18</v>
      </c>
      <c r="I329" s="42">
        <f t="shared" si="17"/>
        <v>118324.57999999999</v>
      </c>
      <c r="J329" s="42">
        <f t="shared" si="17"/>
        <v>82271</v>
      </c>
      <c r="K329" s="42">
        <f t="shared" si="17"/>
        <v>1531.19</v>
      </c>
      <c r="L329" s="41">
        <f t="shared" si="17"/>
        <v>680854.79999999993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v>17665</v>
      </c>
      <c r="G334" s="18"/>
      <c r="H334" s="18"/>
      <c r="I334" s="18"/>
      <c r="J334" s="18"/>
      <c r="K334" s="18"/>
      <c r="L334" s="19">
        <f t="shared" si="18"/>
        <v>17665</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17665</v>
      </c>
      <c r="G338" s="41">
        <f t="shared" si="19"/>
        <v>0</v>
      </c>
      <c r="H338" s="41">
        <f t="shared" si="19"/>
        <v>0</v>
      </c>
      <c r="I338" s="41">
        <f t="shared" si="19"/>
        <v>0</v>
      </c>
      <c r="J338" s="41">
        <f t="shared" si="19"/>
        <v>0</v>
      </c>
      <c r="K338" s="41">
        <f t="shared" si="19"/>
        <v>0</v>
      </c>
      <c r="L338" s="41">
        <f t="shared" si="18"/>
        <v>17665</v>
      </c>
      <c r="M338" s="8"/>
      <c r="N338" s="264"/>
    </row>
    <row r="339" spans="1:43" s="3" customFormat="1" ht="12.2" customHeight="1" thickTop="1" x14ac:dyDescent="0.15">
      <c r="A339" s="38" t="s">
        <v>468</v>
      </c>
      <c r="B339" s="40">
        <v>14</v>
      </c>
      <c r="C339" s="40">
        <v>7</v>
      </c>
      <c r="D339" s="39" t="s">
        <v>431</v>
      </c>
      <c r="E339" s="40"/>
      <c r="F339" s="41">
        <f t="shared" ref="F339:L339" si="20">F291+F310+F329+F338</f>
        <v>1096855.1399999999</v>
      </c>
      <c r="G339" s="41">
        <f t="shared" si="20"/>
        <v>34670.959999999999</v>
      </c>
      <c r="H339" s="41">
        <f t="shared" si="20"/>
        <v>345180.12</v>
      </c>
      <c r="I339" s="41">
        <f t="shared" si="20"/>
        <v>289477.65000000002</v>
      </c>
      <c r="J339" s="41">
        <f t="shared" si="20"/>
        <v>216877.99000000002</v>
      </c>
      <c r="K339" s="41">
        <f t="shared" si="20"/>
        <v>4374.82</v>
      </c>
      <c r="L339" s="41">
        <f t="shared" si="20"/>
        <v>1987436.6799999997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t="s">
        <v>1677</v>
      </c>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1096855.1399999999</v>
      </c>
      <c r="G353" s="41">
        <f>G339</f>
        <v>34670.959999999999</v>
      </c>
      <c r="H353" s="41">
        <f>H339</f>
        <v>345180.12</v>
      </c>
      <c r="I353" s="41">
        <f>I339</f>
        <v>289477.65000000002</v>
      </c>
      <c r="J353" s="41">
        <f>J339</f>
        <v>216877.99000000002</v>
      </c>
      <c r="K353" s="47">
        <f>K339+K352</f>
        <v>4374.82</v>
      </c>
      <c r="L353" s="41">
        <f>L339+L352</f>
        <v>1987436.6799999997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112278.98+183058.73</f>
        <v>295337.71000000002</v>
      </c>
      <c r="G359" s="18">
        <f>49316.2+21912.34</f>
        <v>71228.539999999994</v>
      </c>
      <c r="H359" s="18">
        <f>15792.54+8866.82</f>
        <v>24659.360000000001</v>
      </c>
      <c r="I359" s="18">
        <f>157312+1851.17</f>
        <v>159163.17000000001</v>
      </c>
      <c r="J359" s="18">
        <f>162.9+1303.83</f>
        <v>1466.73</v>
      </c>
      <c r="K359" s="18">
        <v>1483.57</v>
      </c>
      <c r="L359" s="13">
        <f>SUM(F359:K359)</f>
        <v>553339.07999999996</v>
      </c>
      <c r="M359" s="8"/>
      <c r="N359" s="264"/>
    </row>
    <row r="360" spans="1:22" s="3" customFormat="1" ht="12.2" customHeight="1" x14ac:dyDescent="0.15">
      <c r="A360" s="1" t="s">
        <v>542</v>
      </c>
      <c r="B360" s="2" t="s">
        <v>366</v>
      </c>
      <c r="C360" s="6">
        <v>2</v>
      </c>
      <c r="D360" s="2" t="s">
        <v>431</v>
      </c>
      <c r="E360" s="6"/>
      <c r="F360" s="18">
        <f>30205.32+18526.42</f>
        <v>48731.74</v>
      </c>
      <c r="G360" s="18">
        <f>8137.34+3615.11</f>
        <v>11752.45</v>
      </c>
      <c r="H360" s="18">
        <f>3435.37+2895.29</f>
        <v>6330.66</v>
      </c>
      <c r="I360" s="18">
        <f>60714.62+604.46</f>
        <v>61319.08</v>
      </c>
      <c r="J360" s="18">
        <v>425.74</v>
      </c>
      <c r="K360" s="18">
        <v>484.43</v>
      </c>
      <c r="L360" s="19">
        <f>SUM(F360:K360)</f>
        <v>129044.1</v>
      </c>
      <c r="M360" s="8"/>
      <c r="N360" s="264"/>
    </row>
    <row r="361" spans="1:22" s="3" customFormat="1" ht="12.2" customHeight="1" x14ac:dyDescent="0.15">
      <c r="A361" s="3" t="s">
        <v>543</v>
      </c>
      <c r="B361" s="2" t="s">
        <v>366</v>
      </c>
      <c r="C361" s="6">
        <v>3</v>
      </c>
      <c r="D361" s="2" t="s">
        <v>431</v>
      </c>
      <c r="E361" s="6"/>
      <c r="F361" s="18">
        <f>107731.08+66076.8</f>
        <v>173807.88</v>
      </c>
      <c r="G361" s="18">
        <f>29022.86+12893.74</f>
        <v>41916.6</v>
      </c>
      <c r="H361" s="18">
        <f>3885.83+6333.45</f>
        <v>10219.279999999999</v>
      </c>
      <c r="I361" s="18">
        <f>80477.63+1322.27</f>
        <v>81799.900000000009</v>
      </c>
      <c r="J361" s="18">
        <v>931.3</v>
      </c>
      <c r="K361" s="18">
        <v>1059.7</v>
      </c>
      <c r="L361" s="19">
        <f>SUM(F361:K361)</f>
        <v>309734.66000000003</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f>26365.31+27219.02</f>
        <v>53584.33</v>
      </c>
      <c r="L362" s="13">
        <f>SUM(F362:K362)</f>
        <v>53584.33</v>
      </c>
      <c r="M362" s="8"/>
      <c r="N362" s="264"/>
    </row>
    <row r="363" spans="1:22" s="3" customFormat="1" ht="12.2" customHeight="1" thickTop="1" x14ac:dyDescent="0.15">
      <c r="A363" s="46" t="s">
        <v>469</v>
      </c>
      <c r="B363" s="39" t="s">
        <v>366</v>
      </c>
      <c r="C363" s="40">
        <v>5</v>
      </c>
      <c r="D363" s="39" t="s">
        <v>431</v>
      </c>
      <c r="E363" s="40"/>
      <c r="F363" s="47">
        <f t="shared" ref="F363:L363" si="22">SUM(F359:F362)</f>
        <v>517877.33</v>
      </c>
      <c r="G363" s="47">
        <f t="shared" si="22"/>
        <v>124897.59</v>
      </c>
      <c r="H363" s="47">
        <f t="shared" si="22"/>
        <v>41209.300000000003</v>
      </c>
      <c r="I363" s="47">
        <f t="shared" si="22"/>
        <v>302282.15000000002</v>
      </c>
      <c r="J363" s="47">
        <f t="shared" si="22"/>
        <v>2823.77</v>
      </c>
      <c r="K363" s="47">
        <f t="shared" si="22"/>
        <v>56612.03</v>
      </c>
      <c r="L363" s="47">
        <f t="shared" si="22"/>
        <v>1045702.1699999999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31.84+119594.09</f>
        <v>119625.93</v>
      </c>
      <c r="G368" s="18">
        <f>10.4+51899.48</f>
        <v>51909.880000000005</v>
      </c>
      <c r="H368" s="18">
        <f>22.74+66110.44</f>
        <v>66133.180000000008</v>
      </c>
      <c r="I368" s="56">
        <f>SUM(F368:H368)</f>
        <v>237668.99</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1819.33+37717.91</f>
        <v>39537.240000000005</v>
      </c>
      <c r="G369" s="63">
        <f>594.07+8815.14</f>
        <v>9409.2099999999991</v>
      </c>
      <c r="H369" s="63">
        <f>1299.52+14367.19</f>
        <v>15666.710000000001</v>
      </c>
      <c r="I369" s="56">
        <f>SUM(F369:H369)</f>
        <v>64613.16</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159163.16999999998</v>
      </c>
      <c r="G370" s="47">
        <f>SUM(G368:G369)</f>
        <v>61319.090000000004</v>
      </c>
      <c r="H370" s="47">
        <f>SUM(H368:H369)</f>
        <v>81799.890000000014</v>
      </c>
      <c r="I370" s="47">
        <f>SUM(I368:I369)</f>
        <v>302282.15000000002</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0</v>
      </c>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8626.65</v>
      </c>
      <c r="G443" s="18"/>
      <c r="H443" s="18"/>
      <c r="I443" s="56">
        <f t="shared" si="33"/>
        <v>8626.65</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8626.65</v>
      </c>
      <c r="G447" s="13">
        <f>SUM(G440:G446)</f>
        <v>0</v>
      </c>
      <c r="H447" s="13">
        <f>SUM(H440:H446)</f>
        <v>0</v>
      </c>
      <c r="I447" s="13">
        <f>SUM(I440:I446)</f>
        <v>8626.65</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8626.65</v>
      </c>
      <c r="G460" s="18"/>
      <c r="H460" s="18"/>
      <c r="I460" s="56">
        <f t="shared" si="34"/>
        <v>8626.65</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8626.65</v>
      </c>
      <c r="G461" s="83">
        <f>SUM(G455:G460)</f>
        <v>0</v>
      </c>
      <c r="H461" s="83">
        <f>SUM(H455:H460)</f>
        <v>0</v>
      </c>
      <c r="I461" s="83">
        <f>SUM(I455:I460)</f>
        <v>8626.65</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8626.65</v>
      </c>
      <c r="G462" s="42">
        <f>G453+G461</f>
        <v>0</v>
      </c>
      <c r="H462" s="42">
        <f>H453+H461</f>
        <v>0</v>
      </c>
      <c r="I462" s="42">
        <f>I453+I461</f>
        <v>8626.65</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4153789.97</v>
      </c>
      <c r="G466" s="18">
        <v>214313.3</v>
      </c>
      <c r="H466" s="18">
        <v>0</v>
      </c>
      <c r="I466" s="18"/>
      <c r="J466" s="18">
        <v>8626.65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72622702.73+13912.07+2525+8779.46+9934.15+16285.53</f>
        <v>72674138.939999998</v>
      </c>
      <c r="G469" s="18">
        <f>852713.97+26365.31+27219.02</f>
        <v>906298.3</v>
      </c>
      <c r="H469" s="18">
        <f>2013801.99-26365.31</f>
        <v>1987436.68</v>
      </c>
      <c r="I469" s="18"/>
      <c r="J469" s="18">
        <v>0</v>
      </c>
      <c r="K469" s="24" t="s">
        <v>288</v>
      </c>
      <c r="L469" s="24" t="s">
        <v>288</v>
      </c>
      <c r="N469" s="263"/>
    </row>
    <row r="470" spans="1:14" s="52" customFormat="1" ht="12.2" customHeight="1" x14ac:dyDescent="0.2">
      <c r="A470" s="93" t="s">
        <v>611</v>
      </c>
      <c r="B470" s="75">
        <v>19</v>
      </c>
      <c r="C470" s="80">
        <v>3</v>
      </c>
      <c r="D470" s="2" t="s">
        <v>432</v>
      </c>
      <c r="E470" s="80"/>
      <c r="F470" s="18">
        <f>-165793.18-0.59</f>
        <v>-165793.76999999999</v>
      </c>
      <c r="G470" s="18" t="s">
        <v>286</v>
      </c>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72508345.170000002</v>
      </c>
      <c r="G471" s="53">
        <f>SUM(G469:G470)</f>
        <v>906298.3</v>
      </c>
      <c r="H471" s="53">
        <f>SUM(H469:H470)</f>
        <v>1987436.68</v>
      </c>
      <c r="I471" s="53">
        <f>SUM(I469:I470)</f>
        <v>0</v>
      </c>
      <c r="J471" s="53">
        <f>SUM(J469:J470)</f>
        <v>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13912.07+2525+8779.46+85820.38+71936624.9</f>
        <v>72047661.810000002</v>
      </c>
      <c r="G473" s="18">
        <f>992117.84+26365.31+27219.02</f>
        <v>1045702.17</v>
      </c>
      <c r="H473" s="18">
        <f>2013801.99-26365.31</f>
        <v>1987436.68</v>
      </c>
      <c r="I473" s="18"/>
      <c r="J473" s="18">
        <v>0</v>
      </c>
      <c r="K473" s="24" t="s">
        <v>288</v>
      </c>
      <c r="L473" s="24" t="s">
        <v>288</v>
      </c>
      <c r="N473" s="263"/>
    </row>
    <row r="474" spans="1:14" s="52" customFormat="1" ht="12.2" customHeight="1" x14ac:dyDescent="0.2">
      <c r="A474" s="93" t="s">
        <v>613</v>
      </c>
      <c r="B474" s="75">
        <v>19</v>
      </c>
      <c r="C474" s="80">
        <v>6</v>
      </c>
      <c r="D474" s="2" t="s">
        <v>432</v>
      </c>
      <c r="E474" s="80"/>
      <c r="F474" s="18"/>
      <c r="G474" s="18" t="s">
        <v>286</v>
      </c>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72047661.810000002</v>
      </c>
      <c r="G475" s="53">
        <f>SUM(G473:G474)</f>
        <v>1045702.17</v>
      </c>
      <c r="H475" s="53">
        <f>SUM(H473:H474)</f>
        <v>1987436.68</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4614473.3299999982</v>
      </c>
      <c r="G477" s="53">
        <f>(G466+G471)- G475</f>
        <v>74909.430000000051</v>
      </c>
      <c r="H477" s="53">
        <f>(H466+H471)- H475</f>
        <v>0</v>
      </c>
      <c r="I477" s="53">
        <f>(I466+I471)- I475</f>
        <v>0</v>
      </c>
      <c r="J477" s="53">
        <f>(J466+J471)- J475</f>
        <v>8626.65</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15</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t="s">
        <v>1673</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t="s">
        <v>1675</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800000</v>
      </c>
      <c r="G494" s="18">
        <v>32715000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4.5199999999999996</v>
      </c>
      <c r="G495" s="18">
        <v>2.63</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280000</v>
      </c>
      <c r="G496" s="18">
        <v>22735000</v>
      </c>
      <c r="H496" s="18"/>
      <c r="I496" s="18"/>
      <c r="J496" s="18"/>
      <c r="K496" s="53">
        <f>SUM(F496:J496)</f>
        <v>23015000</v>
      </c>
      <c r="L496" s="24" t="s">
        <v>288</v>
      </c>
      <c r="N496" s="263"/>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40000</v>
      </c>
      <c r="G498" s="18">
        <v>1805000</v>
      </c>
      <c r="H498" s="18"/>
      <c r="I498" s="18"/>
      <c r="J498" s="18"/>
      <c r="K498" s="53">
        <f t="shared" si="35"/>
        <v>1845000</v>
      </c>
      <c r="L498" s="24" t="s">
        <v>288</v>
      </c>
      <c r="N498" s="263"/>
    </row>
    <row r="499" spans="1:14" s="52" customFormat="1" ht="12.2" customHeight="1" x14ac:dyDescent="0.2">
      <c r="A499" s="200" t="s">
        <v>622</v>
      </c>
      <c r="B499" s="201">
        <v>20</v>
      </c>
      <c r="C499" s="202">
        <v>9</v>
      </c>
      <c r="D499" s="203" t="s">
        <v>432</v>
      </c>
      <c r="E499" s="202"/>
      <c r="F499" s="204">
        <v>240000</v>
      </c>
      <c r="G499" s="204">
        <v>20930000</v>
      </c>
      <c r="H499" s="204"/>
      <c r="I499" s="204"/>
      <c r="J499" s="204"/>
      <c r="K499" s="205">
        <f t="shared" si="35"/>
        <v>21170000</v>
      </c>
      <c r="L499" s="206" t="s">
        <v>288</v>
      </c>
      <c r="N499" s="263"/>
    </row>
    <row r="500" spans="1:14" s="52" customFormat="1" ht="12.2" customHeight="1" thickBot="1" x14ac:dyDescent="0.25">
      <c r="A500" s="22" t="s">
        <v>623</v>
      </c>
      <c r="B500" s="75">
        <v>20</v>
      </c>
      <c r="C500" s="115">
        <v>10</v>
      </c>
      <c r="D500" s="2" t="s">
        <v>432</v>
      </c>
      <c r="E500" s="115"/>
      <c r="F500" s="18">
        <v>33175</v>
      </c>
      <c r="G500" s="18">
        <v>4815750</v>
      </c>
      <c r="H500" s="18"/>
      <c r="I500" s="18"/>
      <c r="J500" s="18"/>
      <c r="K500" s="53">
        <f t="shared" si="35"/>
        <v>4848925</v>
      </c>
      <c r="L500" s="24" t="s">
        <v>288</v>
      </c>
      <c r="N500" s="263"/>
    </row>
    <row r="501" spans="1:14" s="52" customFormat="1" ht="12.2" customHeight="1" thickTop="1" x14ac:dyDescent="0.2">
      <c r="A501" s="139" t="s">
        <v>624</v>
      </c>
      <c r="B501" s="44">
        <v>20</v>
      </c>
      <c r="C501" s="195">
        <v>11</v>
      </c>
      <c r="D501" s="39" t="s">
        <v>432</v>
      </c>
      <c r="E501" s="195"/>
      <c r="F501" s="42">
        <f>SUM(F499:F500)</f>
        <v>273175</v>
      </c>
      <c r="G501" s="42">
        <f>SUM(G499:G500)</f>
        <v>25745750</v>
      </c>
      <c r="H501" s="42">
        <f>SUM(H499:H500)</f>
        <v>0</v>
      </c>
      <c r="I501" s="42">
        <f>SUM(I499:I500)</f>
        <v>0</v>
      </c>
      <c r="J501" s="42">
        <f>SUM(J499:J500)</f>
        <v>0</v>
      </c>
      <c r="K501" s="42">
        <f t="shared" si="35"/>
        <v>26018925</v>
      </c>
      <c r="L501" s="45" t="s">
        <v>288</v>
      </c>
      <c r="N501" s="263"/>
    </row>
    <row r="502" spans="1:14" s="52" customFormat="1" ht="12.2" customHeight="1" x14ac:dyDescent="0.2">
      <c r="A502" s="200" t="s">
        <v>651</v>
      </c>
      <c r="B502" s="201">
        <v>20</v>
      </c>
      <c r="C502" s="202">
        <v>12</v>
      </c>
      <c r="D502" s="203" t="s">
        <v>432</v>
      </c>
      <c r="E502" s="202"/>
      <c r="F502" s="204">
        <v>40000</v>
      </c>
      <c r="G502" s="204">
        <v>1890000</v>
      </c>
      <c r="H502" s="204"/>
      <c r="I502" s="204"/>
      <c r="J502" s="204"/>
      <c r="K502" s="205">
        <f t="shared" si="35"/>
        <v>1930000</v>
      </c>
      <c r="L502" s="206" t="s">
        <v>288</v>
      </c>
      <c r="N502" s="263"/>
    </row>
    <row r="503" spans="1:14" s="52" customFormat="1" ht="12.2" customHeight="1" thickBot="1" x14ac:dyDescent="0.25">
      <c r="A503" s="22" t="s">
        <v>625</v>
      </c>
      <c r="B503" s="75">
        <v>20</v>
      </c>
      <c r="C503" s="115">
        <v>13</v>
      </c>
      <c r="D503" s="2" t="s">
        <v>432</v>
      </c>
      <c r="E503" s="115"/>
      <c r="F503" s="18">
        <v>10090</v>
      </c>
      <c r="G503" s="18">
        <v>971250</v>
      </c>
      <c r="H503" s="18"/>
      <c r="I503" s="18"/>
      <c r="J503" s="18"/>
      <c r="K503" s="53">
        <f t="shared" si="35"/>
        <v>981340</v>
      </c>
      <c r="L503" s="24" t="s">
        <v>288</v>
      </c>
      <c r="N503" s="263"/>
    </row>
    <row r="504" spans="1:14" s="52" customFormat="1" ht="12.2" customHeight="1" thickTop="1" x14ac:dyDescent="0.2">
      <c r="A504" s="139" t="s">
        <v>626</v>
      </c>
      <c r="B504" s="44">
        <v>20</v>
      </c>
      <c r="C504" s="195">
        <v>14</v>
      </c>
      <c r="D504" s="39" t="s">
        <v>432</v>
      </c>
      <c r="E504" s="195"/>
      <c r="F504" s="42">
        <f>SUM(F502:F503)</f>
        <v>50090</v>
      </c>
      <c r="G504" s="42">
        <f>SUM(G502:G503)</f>
        <v>2861250</v>
      </c>
      <c r="H504" s="42">
        <f>SUM(H502:H503)</f>
        <v>0</v>
      </c>
      <c r="I504" s="42">
        <f>SUM(I502:I503)</f>
        <v>0</v>
      </c>
      <c r="J504" s="42">
        <f>SUM(J502:J503)</f>
        <v>0</v>
      </c>
      <c r="K504" s="42">
        <f t="shared" si="35"/>
        <v>2911340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285851.35+3672251.84+252578.75</f>
        <v>4210681.9399999995</v>
      </c>
      <c r="G522" s="18">
        <v>2011894.3</v>
      </c>
      <c r="H522" s="18">
        <f>33242.37+400+597979.09</f>
        <v>631621.46</v>
      </c>
      <c r="I522" s="18">
        <f>4160.49+17546.39+4300.87</f>
        <v>26007.749999999996</v>
      </c>
      <c r="J522" s="18">
        <v>17542.62</v>
      </c>
      <c r="K522" s="18"/>
      <c r="L522" s="88">
        <f>SUM(F522:K522)</f>
        <v>6897748.0699999994</v>
      </c>
      <c r="N522" s="263"/>
    </row>
    <row r="523" spans="1:14" s="52" customFormat="1" ht="12.2" customHeight="1" x14ac:dyDescent="0.2">
      <c r="A523" s="22" t="s">
        <v>634</v>
      </c>
      <c r="B523" s="105">
        <v>21</v>
      </c>
      <c r="C523" s="115">
        <v>2</v>
      </c>
      <c r="D523" s="2" t="s">
        <v>432</v>
      </c>
      <c r="E523" s="115"/>
      <c r="F523" s="18">
        <f>86649.75+1051641.01+82474.69</f>
        <v>1220765.45</v>
      </c>
      <c r="G523" s="18">
        <v>598528.91</v>
      </c>
      <c r="H523" s="18">
        <f>480+188333.31</f>
        <v>188813.31</v>
      </c>
      <c r="I523" s="18">
        <f>1958.45+2687.59+1404.36</f>
        <v>6050.4</v>
      </c>
      <c r="J523" s="18">
        <v>5375.53</v>
      </c>
      <c r="K523" s="18"/>
      <c r="L523" s="88">
        <f>SUM(F523:K523)</f>
        <v>2019533.5999999999</v>
      </c>
      <c r="N523" s="263"/>
    </row>
    <row r="524" spans="1:14" s="52" customFormat="1" ht="12.2" customHeight="1" thickBot="1" x14ac:dyDescent="0.25">
      <c r="A524" s="22" t="s">
        <v>635</v>
      </c>
      <c r="B524" s="105">
        <v>21</v>
      </c>
      <c r="C524" s="115">
        <v>3</v>
      </c>
      <c r="D524" s="2" t="s">
        <v>432</v>
      </c>
      <c r="E524" s="115"/>
      <c r="F524" s="18">
        <f>189242.66+1752408.56+180413.39</f>
        <v>2122064.61</v>
      </c>
      <c r="G524" s="18">
        <v>924666.15</v>
      </c>
      <c r="H524" s="18">
        <f>3650+12650+1601732.69</f>
        <v>1618032.69</v>
      </c>
      <c r="I524" s="18">
        <f>5749.83+9971.76+3072.05</f>
        <v>18793.64</v>
      </c>
      <c r="J524" s="18">
        <v>11758.96</v>
      </c>
      <c r="K524" s="18"/>
      <c r="L524" s="88">
        <f>SUM(F524:K524)</f>
        <v>4695316.0499999989</v>
      </c>
      <c r="N524" s="263"/>
    </row>
    <row r="525" spans="1:14" s="52" customFormat="1" ht="12.2" customHeight="1" thickTop="1" x14ac:dyDescent="0.2">
      <c r="A525" s="139" t="s">
        <v>63</v>
      </c>
      <c r="B525" s="107">
        <v>21</v>
      </c>
      <c r="C525" s="195">
        <v>4</v>
      </c>
      <c r="D525" s="196" t="s">
        <v>432</v>
      </c>
      <c r="E525" s="195"/>
      <c r="F525" s="108">
        <f>SUM(F522:F524)</f>
        <v>7553512</v>
      </c>
      <c r="G525" s="108">
        <f t="shared" ref="G525:L525" si="36">SUM(G522:G524)</f>
        <v>3535089.36</v>
      </c>
      <c r="H525" s="108">
        <f t="shared" si="36"/>
        <v>2438467.46</v>
      </c>
      <c r="I525" s="108">
        <f t="shared" si="36"/>
        <v>50851.789999999994</v>
      </c>
      <c r="J525" s="108">
        <f t="shared" si="36"/>
        <v>34677.11</v>
      </c>
      <c r="K525" s="108">
        <f t="shared" si="36"/>
        <v>0</v>
      </c>
      <c r="L525" s="89">
        <f t="shared" si="36"/>
        <v>13612597.719999999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35117.21+587823.72</f>
        <v>622940.92999999993</v>
      </c>
      <c r="G527" s="18">
        <f>19134.9+300650.28</f>
        <v>319785.18000000005</v>
      </c>
      <c r="H527" s="18">
        <f>931+39078+643978.75</f>
        <v>683987.75</v>
      </c>
      <c r="I527" s="18">
        <f>147+1641.41+8255.62</f>
        <v>10044.030000000001</v>
      </c>
      <c r="J527" s="18">
        <v>380.96</v>
      </c>
      <c r="K527" s="18"/>
      <c r="L527" s="88">
        <f>SUM(F527:K527)</f>
        <v>1637138.8499999999</v>
      </c>
      <c r="M527" s="8"/>
      <c r="N527" s="264"/>
    </row>
    <row r="528" spans="1:14" s="3" customFormat="1" ht="12.2" customHeight="1" x14ac:dyDescent="0.15">
      <c r="A528" s="22" t="s">
        <v>634</v>
      </c>
      <c r="B528" s="105">
        <v>21</v>
      </c>
      <c r="C528" s="115">
        <v>6</v>
      </c>
      <c r="D528" s="2" t="s">
        <v>432</v>
      </c>
      <c r="E528" s="115"/>
      <c r="F528" s="18">
        <f>11466.84+88802.3</f>
        <v>100269.14</v>
      </c>
      <c r="G528" s="18">
        <f>6248.13+53821.99</f>
        <v>60070.119999999995</v>
      </c>
      <c r="H528" s="18">
        <f>304+78514.32</f>
        <v>78818.320000000007</v>
      </c>
      <c r="I528" s="18">
        <f>48+2695.71</f>
        <v>2743.71</v>
      </c>
      <c r="J528" s="18">
        <v>124.39</v>
      </c>
      <c r="K528" s="18"/>
      <c r="L528" s="88">
        <f>SUM(F528:K528)</f>
        <v>242025.68000000002</v>
      </c>
      <c r="M528" s="8"/>
      <c r="N528" s="264"/>
    </row>
    <row r="529" spans="1:14" s="3" customFormat="1" ht="12.2" customHeight="1" thickBot="1" x14ac:dyDescent="0.2">
      <c r="A529" s="22" t="s">
        <v>635</v>
      </c>
      <c r="B529" s="118">
        <v>21</v>
      </c>
      <c r="C529" s="118">
        <v>7</v>
      </c>
      <c r="D529" s="2" t="s">
        <v>432</v>
      </c>
      <c r="E529" s="118"/>
      <c r="F529" s="18">
        <f>25083.72+79120.37</f>
        <v>104204.09</v>
      </c>
      <c r="G529" s="18">
        <f>13667.79+35813.99</f>
        <v>49481.78</v>
      </c>
      <c r="H529" s="18">
        <f>665+54287+350743.52</f>
        <v>405695.52</v>
      </c>
      <c r="I529" s="18">
        <f>105+5896.87</f>
        <v>6001.87</v>
      </c>
      <c r="J529" s="18">
        <v>272.11</v>
      </c>
      <c r="K529" s="18"/>
      <c r="L529" s="88">
        <f>SUM(F529:K529)</f>
        <v>565655.37</v>
      </c>
      <c r="M529" s="8"/>
      <c r="N529" s="264"/>
    </row>
    <row r="530" spans="1:14" s="3" customFormat="1" ht="12.2" customHeight="1" thickTop="1" x14ac:dyDescent="0.15">
      <c r="A530" s="139" t="s">
        <v>65</v>
      </c>
      <c r="B530" s="107">
        <v>21</v>
      </c>
      <c r="C530" s="107">
        <v>8</v>
      </c>
      <c r="D530" s="158" t="s">
        <v>432</v>
      </c>
      <c r="E530" s="107"/>
      <c r="F530" s="89">
        <f>SUM(F527:F529)</f>
        <v>827414.15999999992</v>
      </c>
      <c r="G530" s="89">
        <f t="shared" ref="G530:L530" si="37">SUM(G527:G529)</f>
        <v>429337.08000000007</v>
      </c>
      <c r="H530" s="89">
        <f t="shared" si="37"/>
        <v>1168501.5900000001</v>
      </c>
      <c r="I530" s="89">
        <f t="shared" si="37"/>
        <v>18789.61</v>
      </c>
      <c r="J530" s="89">
        <f t="shared" si="37"/>
        <v>777.46</v>
      </c>
      <c r="K530" s="89">
        <f t="shared" si="37"/>
        <v>0</v>
      </c>
      <c r="L530" s="89">
        <f t="shared" si="37"/>
        <v>2444819.9</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125679.39</v>
      </c>
      <c r="G532" s="18">
        <f>23652.86+36495.62</f>
        <v>60148.480000000003</v>
      </c>
      <c r="H532" s="18">
        <v>412.54</v>
      </c>
      <c r="I532" s="18">
        <v>304.57</v>
      </c>
      <c r="J532" s="18">
        <v>9855.39</v>
      </c>
      <c r="K532" s="18">
        <v>7827.75</v>
      </c>
      <c r="L532" s="88">
        <f>SUM(F532:K532)</f>
        <v>204228.12</v>
      </c>
      <c r="M532" s="8"/>
      <c r="N532" s="264"/>
    </row>
    <row r="533" spans="1:14" s="3" customFormat="1" ht="12.2" customHeight="1" x14ac:dyDescent="0.15">
      <c r="A533" s="22" t="s">
        <v>634</v>
      </c>
      <c r="B533" s="105">
        <v>21</v>
      </c>
      <c r="C533" s="105">
        <v>10</v>
      </c>
      <c r="D533" s="2" t="s">
        <v>432</v>
      </c>
      <c r="E533" s="105"/>
      <c r="F533" s="18">
        <v>41038.17</v>
      </c>
      <c r="G533" s="18">
        <f>7723.3+11916.948</f>
        <v>19640.248</v>
      </c>
      <c r="H533" s="18">
        <v>134.71</v>
      </c>
      <c r="I533" s="18">
        <v>99.45</v>
      </c>
      <c r="J533" s="18">
        <v>3218.09</v>
      </c>
      <c r="K533" s="18">
        <v>2556</v>
      </c>
      <c r="L533" s="88">
        <f>SUM(F533:K533)</f>
        <v>66686.667999999991</v>
      </c>
      <c r="M533" s="8"/>
      <c r="N533" s="264"/>
    </row>
    <row r="534" spans="1:14" s="3" customFormat="1" ht="12.2" customHeight="1" thickBot="1" x14ac:dyDescent="0.2">
      <c r="A534" s="22" t="s">
        <v>635</v>
      </c>
      <c r="B534" s="105">
        <v>21</v>
      </c>
      <c r="C534" s="105">
        <v>11</v>
      </c>
      <c r="D534" s="2" t="s">
        <v>432</v>
      </c>
      <c r="E534" s="105"/>
      <c r="F534" s="18">
        <f>25087.6+89770.991</f>
        <v>114858.59099999999</v>
      </c>
      <c r="G534" s="18">
        <f>17370.69+26068.3</f>
        <v>43438.99</v>
      </c>
      <c r="H534" s="18">
        <v>294.67</v>
      </c>
      <c r="I534" s="18">
        <v>217.55</v>
      </c>
      <c r="J534" s="18">
        <v>7039.57</v>
      </c>
      <c r="K534" s="18">
        <v>5591.25</v>
      </c>
      <c r="L534" s="88">
        <f>SUM(F534:K534)</f>
        <v>171440.62099999998</v>
      </c>
      <c r="M534" s="8"/>
      <c r="N534" s="264"/>
    </row>
    <row r="535" spans="1:14" s="3" customFormat="1" ht="12.2" customHeight="1" thickTop="1" x14ac:dyDescent="0.15">
      <c r="A535" s="139" t="s">
        <v>67</v>
      </c>
      <c r="B535" s="107">
        <v>21</v>
      </c>
      <c r="C535" s="107">
        <v>12</v>
      </c>
      <c r="D535" s="158" t="s">
        <v>432</v>
      </c>
      <c r="E535" s="107"/>
      <c r="F535" s="89">
        <f>SUM(F532:F534)</f>
        <v>281576.15099999995</v>
      </c>
      <c r="G535" s="89">
        <f t="shared" ref="G535:L535" si="38">SUM(G532:G534)</f>
        <v>123227.71799999999</v>
      </c>
      <c r="H535" s="89">
        <f t="shared" si="38"/>
        <v>841.92000000000007</v>
      </c>
      <c r="I535" s="89">
        <f t="shared" si="38"/>
        <v>621.56999999999994</v>
      </c>
      <c r="J535" s="89">
        <f t="shared" si="38"/>
        <v>20113.05</v>
      </c>
      <c r="K535" s="89">
        <f t="shared" si="38"/>
        <v>15975</v>
      </c>
      <c r="L535" s="89">
        <f t="shared" si="38"/>
        <v>442355.40899999999</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t="s">
        <v>286</v>
      </c>
      <c r="G537" s="18" t="s">
        <v>286</v>
      </c>
      <c r="H537" s="18">
        <v>6640.72</v>
      </c>
      <c r="I537" s="18"/>
      <c r="J537" s="18"/>
      <c r="K537" s="18"/>
      <c r="L537" s="88">
        <f>SUM(F537:K537)</f>
        <v>6640.72</v>
      </c>
      <c r="M537" s="8"/>
      <c r="N537" s="264"/>
    </row>
    <row r="538" spans="1:14" s="3" customFormat="1" ht="12.2" customHeight="1" x14ac:dyDescent="0.15">
      <c r="A538" s="22" t="s">
        <v>634</v>
      </c>
      <c r="B538" s="105">
        <v>21</v>
      </c>
      <c r="C538" s="105">
        <v>14</v>
      </c>
      <c r="D538" s="2" t="s">
        <v>432</v>
      </c>
      <c r="E538" s="105"/>
      <c r="F538" s="18" t="s">
        <v>286</v>
      </c>
      <c r="G538" s="18" t="s">
        <v>286</v>
      </c>
      <c r="H538" s="18">
        <v>2168.4</v>
      </c>
      <c r="I538" s="18"/>
      <c r="J538" s="18"/>
      <c r="K538" s="18"/>
      <c r="L538" s="88">
        <f>SUM(F538:K538)</f>
        <v>2168.4</v>
      </c>
      <c r="M538" s="8"/>
      <c r="N538" s="264"/>
    </row>
    <row r="539" spans="1:14" s="3" customFormat="1" ht="12.2" customHeight="1" thickBot="1" x14ac:dyDescent="0.2">
      <c r="A539" s="22" t="s">
        <v>635</v>
      </c>
      <c r="B539" s="105">
        <v>21</v>
      </c>
      <c r="C539" s="105">
        <v>15</v>
      </c>
      <c r="D539" s="2" t="s">
        <v>432</v>
      </c>
      <c r="E539" s="105"/>
      <c r="F539" s="18" t="s">
        <v>286</v>
      </c>
      <c r="G539" s="18" t="s">
        <v>286</v>
      </c>
      <c r="H539" s="18">
        <v>4743.38</v>
      </c>
      <c r="I539" s="18"/>
      <c r="J539" s="18"/>
      <c r="K539" s="18"/>
      <c r="L539" s="88">
        <f>SUM(F539:K539)</f>
        <v>4743.38</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13552.5</v>
      </c>
      <c r="I540" s="89">
        <f t="shared" si="39"/>
        <v>0</v>
      </c>
      <c r="J540" s="89">
        <f t="shared" si="39"/>
        <v>0</v>
      </c>
      <c r="K540" s="89">
        <f t="shared" si="39"/>
        <v>0</v>
      </c>
      <c r="L540" s="89">
        <f t="shared" si="39"/>
        <v>13552.5</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f>31918.12-15682.1-0.03</f>
        <v>16235.989999999998</v>
      </c>
      <c r="G542" s="18">
        <f>3363.23+4553.87</f>
        <v>7917.1</v>
      </c>
      <c r="H542" s="18">
        <v>552898.6</v>
      </c>
      <c r="I542" s="18"/>
      <c r="J542" s="18"/>
      <c r="K542" s="18"/>
      <c r="L542" s="88">
        <f>SUM(F542:K542)</f>
        <v>577051.68999999994</v>
      </c>
      <c r="M542" s="8"/>
      <c r="N542" s="264"/>
    </row>
    <row r="543" spans="1:14" s="3" customFormat="1" ht="12.2" customHeight="1" x14ac:dyDescent="0.15">
      <c r="A543" s="22" t="s">
        <v>634</v>
      </c>
      <c r="B543" s="105">
        <v>21</v>
      </c>
      <c r="C543" s="105">
        <v>18</v>
      </c>
      <c r="D543" s="2" t="s">
        <v>432</v>
      </c>
      <c r="E543" s="105"/>
      <c r="F543" s="18">
        <f>10422.24-5120.67+0.01</f>
        <v>5301.58</v>
      </c>
      <c r="G543" s="18">
        <f>1098.2+1486.98</f>
        <v>2585.1800000000003</v>
      </c>
      <c r="H543" s="18">
        <v>180538.3</v>
      </c>
      <c r="I543" s="18"/>
      <c r="J543" s="18"/>
      <c r="K543" s="18"/>
      <c r="L543" s="88">
        <f>SUM(F543:K543)</f>
        <v>188425.06</v>
      </c>
      <c r="M543" s="8"/>
      <c r="N543" s="264"/>
    </row>
    <row r="544" spans="1:14" s="3" customFormat="1" ht="12.2" customHeight="1" thickBot="1" x14ac:dyDescent="0.2">
      <c r="A544" s="22" t="s">
        <v>635</v>
      </c>
      <c r="B544" s="105">
        <v>21</v>
      </c>
      <c r="C544" s="105">
        <v>19</v>
      </c>
      <c r="D544" s="2" t="s">
        <v>432</v>
      </c>
      <c r="E544" s="105"/>
      <c r="F544" s="18">
        <f>22798.66-11201.5-2461.64</f>
        <v>9135.52</v>
      </c>
      <c r="G544" s="18">
        <f>2461.68+3252.76</f>
        <v>5714.4400000000005</v>
      </c>
      <c r="H544" s="18">
        <v>394927.5</v>
      </c>
      <c r="I544" s="18"/>
      <c r="J544" s="18"/>
      <c r="K544" s="18"/>
      <c r="L544" s="88">
        <f>SUM(F544:K544)</f>
        <v>409777.46</v>
      </c>
      <c r="M544" s="8"/>
      <c r="N544" s="264"/>
    </row>
    <row r="545" spans="1:14" s="3" customFormat="1" ht="12.2" customHeight="1" thickTop="1" thickBot="1" x14ac:dyDescent="0.2">
      <c r="A545" s="130" t="s">
        <v>71</v>
      </c>
      <c r="B545" s="191">
        <v>21</v>
      </c>
      <c r="C545" s="191">
        <v>20</v>
      </c>
      <c r="D545" s="192" t="s">
        <v>432</v>
      </c>
      <c r="E545" s="191"/>
      <c r="F545" s="193">
        <f>SUM(F542:F544)</f>
        <v>30673.09</v>
      </c>
      <c r="G545" s="193">
        <f t="shared" ref="G545:L545" si="40">SUM(G542:G544)</f>
        <v>16216.720000000001</v>
      </c>
      <c r="H545" s="193">
        <f t="shared" si="40"/>
        <v>1128364.3999999999</v>
      </c>
      <c r="I545" s="193">
        <f t="shared" si="40"/>
        <v>0</v>
      </c>
      <c r="J545" s="193">
        <f t="shared" si="40"/>
        <v>0</v>
      </c>
      <c r="K545" s="193">
        <f t="shared" si="40"/>
        <v>0</v>
      </c>
      <c r="L545" s="193">
        <f t="shared" si="40"/>
        <v>1175254.21</v>
      </c>
      <c r="M545" s="8"/>
      <c r="N545" s="264"/>
    </row>
    <row r="546" spans="1:14" s="3" customFormat="1" ht="12.2" customHeight="1" thickTop="1" x14ac:dyDescent="0.15">
      <c r="A546" s="98" t="s">
        <v>72</v>
      </c>
      <c r="B546" s="107">
        <v>21</v>
      </c>
      <c r="C546" s="107">
        <v>21</v>
      </c>
      <c r="D546" s="158" t="s">
        <v>432</v>
      </c>
      <c r="E546" s="107"/>
      <c r="F546" s="89">
        <f>F525+F530+F535+F540+F545</f>
        <v>8693175.4010000005</v>
      </c>
      <c r="G546" s="89">
        <f t="shared" ref="G546:L546" si="41">G525+G530+G535+G540+G545</f>
        <v>4103870.878</v>
      </c>
      <c r="H546" s="89">
        <f t="shared" si="41"/>
        <v>4749727.8699999992</v>
      </c>
      <c r="I546" s="89">
        <f t="shared" si="41"/>
        <v>70262.97</v>
      </c>
      <c r="J546" s="89">
        <f t="shared" si="41"/>
        <v>55567.619999999995</v>
      </c>
      <c r="K546" s="89">
        <f t="shared" si="41"/>
        <v>15975</v>
      </c>
      <c r="L546" s="89">
        <f t="shared" si="41"/>
        <v>17688579.739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6897748.0699999994</v>
      </c>
      <c r="G550" s="87">
        <f>L527</f>
        <v>1637138.8499999999</v>
      </c>
      <c r="H550" s="87">
        <f>L532</f>
        <v>204228.12</v>
      </c>
      <c r="I550" s="87">
        <f>L537</f>
        <v>6640.72</v>
      </c>
      <c r="J550" s="87">
        <f>L542</f>
        <v>577051.68999999994</v>
      </c>
      <c r="K550" s="87">
        <f>SUM(F550:J550)</f>
        <v>9322807.4499999993</v>
      </c>
      <c r="L550" s="24" t="s">
        <v>288</v>
      </c>
      <c r="M550" s="8"/>
      <c r="N550" s="264"/>
    </row>
    <row r="551" spans="1:14" s="3" customFormat="1" ht="12.2" customHeight="1" x14ac:dyDescent="0.15">
      <c r="A551" s="22" t="s">
        <v>634</v>
      </c>
      <c r="B551" s="75">
        <v>21</v>
      </c>
      <c r="C551" s="75">
        <v>23</v>
      </c>
      <c r="D551" s="2" t="s">
        <v>432</v>
      </c>
      <c r="E551" s="75"/>
      <c r="F551" s="87">
        <f>L523</f>
        <v>2019533.5999999999</v>
      </c>
      <c r="G551" s="87">
        <f>L528</f>
        <v>242025.68000000002</v>
      </c>
      <c r="H551" s="87">
        <f>L533</f>
        <v>66686.667999999991</v>
      </c>
      <c r="I551" s="87">
        <f>L538</f>
        <v>2168.4</v>
      </c>
      <c r="J551" s="87">
        <f>L543</f>
        <v>188425.06</v>
      </c>
      <c r="K551" s="87">
        <f>SUM(F551:J551)</f>
        <v>2518839.4079999998</v>
      </c>
      <c r="L551" s="24" t="s">
        <v>288</v>
      </c>
      <c r="M551" s="8"/>
      <c r="N551" s="264"/>
    </row>
    <row r="552" spans="1:14" s="3" customFormat="1" ht="12.2" customHeight="1" thickBot="1" x14ac:dyDescent="0.2">
      <c r="A552" s="22" t="s">
        <v>635</v>
      </c>
      <c r="B552" s="75">
        <v>21</v>
      </c>
      <c r="C552" s="75">
        <v>24</v>
      </c>
      <c r="D552" s="2" t="s">
        <v>432</v>
      </c>
      <c r="E552" s="75"/>
      <c r="F552" s="87">
        <f>L524</f>
        <v>4695316.0499999989</v>
      </c>
      <c r="G552" s="87">
        <f>L529</f>
        <v>565655.37</v>
      </c>
      <c r="H552" s="87">
        <f>L534</f>
        <v>171440.62099999998</v>
      </c>
      <c r="I552" s="87">
        <f>L539</f>
        <v>4743.38</v>
      </c>
      <c r="J552" s="87">
        <f>L544</f>
        <v>409777.46</v>
      </c>
      <c r="K552" s="87">
        <f>SUM(F552:J552)</f>
        <v>5846932.8809999991</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13612597.719999999</v>
      </c>
      <c r="G553" s="89">
        <f t="shared" si="42"/>
        <v>2444819.9</v>
      </c>
      <c r="H553" s="89">
        <f t="shared" si="42"/>
        <v>442355.40899999999</v>
      </c>
      <c r="I553" s="89">
        <f t="shared" si="42"/>
        <v>13552.5</v>
      </c>
      <c r="J553" s="89">
        <f t="shared" si="42"/>
        <v>1175254.21</v>
      </c>
      <c r="K553" s="89">
        <f t="shared" si="42"/>
        <v>17688579.739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48445</v>
      </c>
      <c r="G563" s="18">
        <v>12329.25</v>
      </c>
      <c r="H563" s="18"/>
      <c r="I563" s="18">
        <f>341.04+279.3</f>
        <v>620.34</v>
      </c>
      <c r="J563" s="18"/>
      <c r="K563" s="18"/>
      <c r="L563" s="88">
        <f>SUM(F563:K563)</f>
        <v>61394.59</v>
      </c>
      <c r="M563" s="8"/>
      <c r="N563" s="264"/>
    </row>
    <row r="564" spans="1:14" s="3" customFormat="1" ht="12.2" customHeight="1" x14ac:dyDescent="0.15">
      <c r="A564" s="22" t="s">
        <v>634</v>
      </c>
      <c r="B564" s="105">
        <v>22</v>
      </c>
      <c r="C564" s="115">
        <v>6</v>
      </c>
      <c r="D564" s="2" t="s">
        <v>432</v>
      </c>
      <c r="E564" s="115"/>
      <c r="F564" s="18">
        <v>67375</v>
      </c>
      <c r="G564" s="18">
        <v>17146.939999999999</v>
      </c>
      <c r="H564" s="18"/>
      <c r="I564" s="18">
        <f>111.36+91.2</f>
        <v>202.56</v>
      </c>
      <c r="J564" s="18"/>
      <c r="K564" s="18"/>
      <c r="L564" s="88">
        <f>SUM(F564:K564)</f>
        <v>84724.5</v>
      </c>
      <c r="M564" s="8"/>
      <c r="N564" s="264"/>
    </row>
    <row r="565" spans="1:14" s="3" customFormat="1" ht="12.2" customHeight="1" thickBot="1" x14ac:dyDescent="0.2">
      <c r="A565" s="22" t="s">
        <v>635</v>
      </c>
      <c r="B565" s="105">
        <v>22</v>
      </c>
      <c r="C565" s="118">
        <v>7</v>
      </c>
      <c r="D565" s="2" t="s">
        <v>432</v>
      </c>
      <c r="E565" s="118"/>
      <c r="F565" s="18"/>
      <c r="G565" s="18"/>
      <c r="H565" s="18"/>
      <c r="I565" s="18">
        <f>243.6+199.5</f>
        <v>443.1</v>
      </c>
      <c r="J565" s="18"/>
      <c r="K565" s="18"/>
      <c r="L565" s="88">
        <f>SUM(F565:K565)</f>
        <v>443.1</v>
      </c>
      <c r="M565" s="8"/>
      <c r="N565" s="264"/>
    </row>
    <row r="566" spans="1:14" s="3" customFormat="1" ht="12.2" customHeight="1" thickTop="1" x14ac:dyDescent="0.15">
      <c r="A566" s="139" t="s">
        <v>65</v>
      </c>
      <c r="B566" s="107">
        <v>22</v>
      </c>
      <c r="C566" s="107">
        <v>8</v>
      </c>
      <c r="D566" s="196" t="s">
        <v>432</v>
      </c>
      <c r="E566" s="107"/>
      <c r="F566" s="89">
        <f t="shared" ref="F566:L566" si="44">SUM(F563:F565)</f>
        <v>115820</v>
      </c>
      <c r="G566" s="89">
        <f t="shared" si="44"/>
        <v>29476.19</v>
      </c>
      <c r="H566" s="89">
        <f t="shared" si="44"/>
        <v>0</v>
      </c>
      <c r="I566" s="89">
        <f t="shared" si="44"/>
        <v>1266</v>
      </c>
      <c r="J566" s="89">
        <f t="shared" si="44"/>
        <v>0</v>
      </c>
      <c r="K566" s="89">
        <f t="shared" si="44"/>
        <v>0</v>
      </c>
      <c r="L566" s="89">
        <f t="shared" si="44"/>
        <v>146562.19</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277895</v>
      </c>
      <c r="G568" s="18">
        <f>20463.06+12845.18+20594.09+16821.94</f>
        <v>70724.27</v>
      </c>
      <c r="H568" s="18"/>
      <c r="I568" s="18">
        <v>7883.68</v>
      </c>
      <c r="J568" s="18"/>
      <c r="K568" s="18">
        <v>2902.27</v>
      </c>
      <c r="L568" s="88">
        <f>SUM(F568:K568)</f>
        <v>359405.22000000003</v>
      </c>
      <c r="M568" s="8"/>
      <c r="N568" s="264"/>
    </row>
    <row r="569" spans="1:14" s="3" customFormat="1" ht="12.2" customHeight="1" x14ac:dyDescent="0.15">
      <c r="A569" s="22" t="s">
        <v>634</v>
      </c>
      <c r="B569" s="105">
        <v>22</v>
      </c>
      <c r="C569" s="105">
        <v>10</v>
      </c>
      <c r="D569" s="2" t="s">
        <v>432</v>
      </c>
      <c r="E569" s="105"/>
      <c r="F569" s="18">
        <v>77613</v>
      </c>
      <c r="G569" s="18">
        <v>19752.509999999998</v>
      </c>
      <c r="H569" s="18"/>
      <c r="I569" s="18">
        <v>2580.61</v>
      </c>
      <c r="J569" s="18"/>
      <c r="K569" s="18">
        <v>947.68</v>
      </c>
      <c r="L569" s="88">
        <f>SUM(F569:K569)</f>
        <v>100893.79999999999</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v>2073.0500000000002</v>
      </c>
      <c r="L570" s="88">
        <f>SUM(F570:K570)</f>
        <v>2073.0500000000002</v>
      </c>
      <c r="M570" s="8"/>
      <c r="N570" s="264"/>
    </row>
    <row r="571" spans="1:14" s="3" customFormat="1" ht="12.2" customHeight="1" thickTop="1" thickBot="1" x14ac:dyDescent="0.2">
      <c r="A571" s="130" t="s">
        <v>67</v>
      </c>
      <c r="B571" s="191">
        <v>22</v>
      </c>
      <c r="C571" s="191">
        <v>12</v>
      </c>
      <c r="D571" s="197" t="s">
        <v>432</v>
      </c>
      <c r="E571" s="191"/>
      <c r="F571" s="193">
        <f>SUM(F568:F570)</f>
        <v>355508</v>
      </c>
      <c r="G571" s="193">
        <f t="shared" ref="G571:L571" si="45">SUM(G568:G570)</f>
        <v>90476.78</v>
      </c>
      <c r="H571" s="193">
        <f t="shared" si="45"/>
        <v>0</v>
      </c>
      <c r="I571" s="193">
        <f t="shared" si="45"/>
        <v>10464.290000000001</v>
      </c>
      <c r="J571" s="193">
        <f t="shared" si="45"/>
        <v>0</v>
      </c>
      <c r="K571" s="193">
        <f t="shared" si="45"/>
        <v>5923</v>
      </c>
      <c r="L571" s="193">
        <f t="shared" si="45"/>
        <v>462372.07</v>
      </c>
      <c r="M571" s="8"/>
      <c r="N571" s="264"/>
    </row>
    <row r="572" spans="1:14" s="3" customFormat="1" ht="12.2" customHeight="1" thickTop="1" x14ac:dyDescent="0.15">
      <c r="A572" s="98" t="s">
        <v>88</v>
      </c>
      <c r="B572" s="107">
        <v>22</v>
      </c>
      <c r="C572" s="107">
        <v>13</v>
      </c>
      <c r="D572" s="158" t="s">
        <v>432</v>
      </c>
      <c r="E572" s="107"/>
      <c r="F572" s="89">
        <f>F561+F566+F571</f>
        <v>471328</v>
      </c>
      <c r="G572" s="89">
        <f t="shared" ref="G572:L572" si="46">G561+G566+G571</f>
        <v>119952.97</v>
      </c>
      <c r="H572" s="89">
        <f t="shared" si="46"/>
        <v>0</v>
      </c>
      <c r="I572" s="89">
        <f t="shared" si="46"/>
        <v>11730.29</v>
      </c>
      <c r="J572" s="89">
        <f t="shared" si="46"/>
        <v>0</v>
      </c>
      <c r="K572" s="89">
        <f t="shared" si="46"/>
        <v>5923</v>
      </c>
      <c r="L572" s="89">
        <f t="shared" si="46"/>
        <v>608934.26</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564561.34</v>
      </c>
      <c r="G583" s="18">
        <v>188333.31</v>
      </c>
      <c r="H583" s="18">
        <v>1595346.19</v>
      </c>
      <c r="I583" s="87">
        <f t="shared" si="47"/>
        <v>2348240.84</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f>47589.54+37191.78</f>
        <v>84781.32</v>
      </c>
      <c r="I585" s="87">
        <f t="shared" si="47"/>
        <v>84781.32</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1065060.86+15682.1+1732.58+2345.94</f>
        <v>1084821.4800000002</v>
      </c>
      <c r="I592" s="18">
        <f>347774.98+5120.67+565.74+766.02</f>
        <v>354227.41</v>
      </c>
      <c r="J592" s="18">
        <f>760757.76+11201.5+1268.14+2461.68+1675.67</f>
        <v>777364.75000000012</v>
      </c>
      <c r="K592" s="104">
        <f t="shared" ref="K592:K598" si="48">SUM(H592:J592)</f>
        <v>2216413.64</v>
      </c>
      <c r="L592" s="24" t="s">
        <v>288</v>
      </c>
      <c r="M592" s="8"/>
      <c r="N592" s="264"/>
    </row>
    <row r="593" spans="1:14" s="3" customFormat="1" ht="12.2" customHeight="1" x14ac:dyDescent="0.15">
      <c r="A593" s="3" t="s">
        <v>638</v>
      </c>
      <c r="B593" s="75">
        <v>23</v>
      </c>
      <c r="C593" s="75">
        <v>2</v>
      </c>
      <c r="D593" s="2" t="s">
        <v>432</v>
      </c>
      <c r="E593" s="75"/>
      <c r="F593" s="102">
        <v>2722</v>
      </c>
      <c r="G593" s="103" t="s">
        <v>97</v>
      </c>
      <c r="H593" s="18">
        <f>552898.57+16236.02+3363.23+4553.87</f>
        <v>577051.68999999994</v>
      </c>
      <c r="I593" s="18">
        <f>180538.31+5301.57+1098.2+1486.98</f>
        <v>188425.06000000003</v>
      </c>
      <c r="J593" s="18">
        <f>394927.55-0.01+11597.16+3252.76</f>
        <v>409777.45999999996</v>
      </c>
      <c r="K593" s="104">
        <f t="shared" si="48"/>
        <v>1175254.21</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9627.44</v>
      </c>
      <c r="J595" s="18">
        <v>64147.58</v>
      </c>
      <c r="K595" s="104">
        <f t="shared" si="48"/>
        <v>73775.02</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v>10701.55</v>
      </c>
      <c r="J596" s="18">
        <v>435</v>
      </c>
      <c r="K596" s="104">
        <f t="shared" si="48"/>
        <v>11136.55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1661873.1700000002</v>
      </c>
      <c r="I599" s="108">
        <f>SUM(I592:I598)</f>
        <v>562981.46</v>
      </c>
      <c r="J599" s="108">
        <f>SUM(J592:J598)</f>
        <v>1251724.79</v>
      </c>
      <c r="K599" s="108">
        <f>SUM(K592:K598)</f>
        <v>3476579.42</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16462.55+76440.96+7303.08+1080.07+94.46+380.96+8779.46+892.48+46382.81+1074.72+140609.85+9855.39+1300.95+16457.59+2176.26</f>
        <v>329291.59000000008</v>
      </c>
      <c r="I605" s="18">
        <f>5375.53+24960.31+2384.68+124.39+5038.53+710.62+45913.42+3218.09+424.8+5373.91</f>
        <v>93524.280000000013</v>
      </c>
      <c r="J605" s="18">
        <f>11758.96+54600.69+5216.49+10422.75+272.11+24925.37+6865.6+1709+1554.47+100435+7039.57+929.15+11755.42</f>
        <v>237484.58000000002</v>
      </c>
      <c r="K605" s="104">
        <f>SUM(H605:J605)</f>
        <v>660300.45000000019</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329291.59000000008</v>
      </c>
      <c r="I606" s="108">
        <f>SUM(I603:I605)</f>
        <v>93524.280000000013</v>
      </c>
      <c r="J606" s="108">
        <f>SUM(J603:J605)</f>
        <v>237484.58000000002</v>
      </c>
      <c r="K606" s="108">
        <f>SUM(K603:K605)</f>
        <v>660300.45000000019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v>6837.12</v>
      </c>
      <c r="G613" s="18">
        <v>1740.05</v>
      </c>
      <c r="H613" s="18"/>
      <c r="I613" s="18"/>
      <c r="J613" s="18"/>
      <c r="K613" s="18"/>
      <c r="L613" s="88">
        <f>SUM(F613:K613)</f>
        <v>8577.17</v>
      </c>
      <c r="M613" s="8"/>
      <c r="N613" s="264"/>
    </row>
    <row r="614" spans="1:14" s="3" customFormat="1" ht="12.2" customHeight="1" thickBot="1" x14ac:dyDescent="0.2">
      <c r="A614" s="22" t="s">
        <v>645</v>
      </c>
      <c r="B614" s="75">
        <v>23</v>
      </c>
      <c r="C614" s="75">
        <v>15</v>
      </c>
      <c r="D614" s="2" t="s">
        <v>432</v>
      </c>
      <c r="E614" s="75"/>
      <c r="F614" s="18">
        <f>78981.29+125</f>
        <v>79106.289999999994</v>
      </c>
      <c r="G614" s="18">
        <f>20100.74+9.56</f>
        <v>20110.300000000003</v>
      </c>
      <c r="H614" s="18"/>
      <c r="I614" s="18"/>
      <c r="J614" s="18"/>
      <c r="K614" s="18"/>
      <c r="L614" s="88">
        <f>SUM(F614:K614)</f>
        <v>99216.59</v>
      </c>
      <c r="M614" s="8"/>
      <c r="N614" s="264"/>
    </row>
    <row r="615" spans="1:14" s="3" customFormat="1" ht="12.2" customHeight="1" thickTop="1" x14ac:dyDescent="0.15">
      <c r="A615" s="98" t="s">
        <v>340</v>
      </c>
      <c r="B615" s="107">
        <v>23</v>
      </c>
      <c r="C615" s="107">
        <v>16</v>
      </c>
      <c r="D615" s="39" t="s">
        <v>432</v>
      </c>
      <c r="E615" s="107"/>
      <c r="F615" s="108">
        <f t="shared" ref="F615:L615" si="49">SUM(F612:F614)</f>
        <v>85943.409999999989</v>
      </c>
      <c r="G615" s="108">
        <f t="shared" si="49"/>
        <v>21850.350000000002</v>
      </c>
      <c r="H615" s="108">
        <f t="shared" si="49"/>
        <v>0</v>
      </c>
      <c r="I615" s="108">
        <f t="shared" si="49"/>
        <v>0</v>
      </c>
      <c r="J615" s="108">
        <f t="shared" si="49"/>
        <v>0</v>
      </c>
      <c r="K615" s="108">
        <f t="shared" si="49"/>
        <v>0</v>
      </c>
      <c r="L615" s="89">
        <f t="shared" si="49"/>
        <v>107793.76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8597723.0800000001</v>
      </c>
      <c r="H618" s="109">
        <f>SUM(F52)</f>
        <v>8597723.0800000001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235262.04</v>
      </c>
      <c r="H619" s="109">
        <f>SUM(G52)</f>
        <v>235262.04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278473.76</v>
      </c>
      <c r="H620" s="109">
        <f>SUM(H52)</f>
        <v>278473.76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8626.65</v>
      </c>
      <c r="H622" s="109">
        <f>SUM(J52)</f>
        <v>8626.65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4614473.33</v>
      </c>
      <c r="H623" s="109">
        <f>F477</f>
        <v>4614473.3299999982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74909.429999999993</v>
      </c>
      <c r="H624" s="109">
        <f>G477</f>
        <v>74909.430000000051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8626.65</v>
      </c>
      <c r="H627" s="109">
        <f>J477</f>
        <v>8626.65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72674138.939999998</v>
      </c>
      <c r="H628" s="104">
        <f>SUM(F469)</f>
        <v>72674138.939999998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906298.30000000016</v>
      </c>
      <c r="H629" s="104">
        <f>SUM(G469)</f>
        <v>906298.3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1987436.68</v>
      </c>
      <c r="H630" s="104">
        <f>SUM(H469)</f>
        <v>1987436.68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72047661.810000017</v>
      </c>
      <c r="H633" s="104">
        <f>SUM(F473)</f>
        <v>72047661.810000002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1987436.6799999997</v>
      </c>
      <c r="H634" s="104">
        <f>SUM(H473)</f>
        <v>1987436.68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302282.15000000002</v>
      </c>
      <c r="H635" s="104">
        <f>I370</f>
        <v>302282.15000000002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1045702.1699999999</v>
      </c>
      <c r="H636" s="104">
        <f>SUM(G473)</f>
        <v>1045702.17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8626.65</v>
      </c>
      <c r="H640" s="104">
        <f>SUM(F462)</f>
        <v>8626.65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8626.65</v>
      </c>
      <c r="H643" s="104">
        <f>SUM(I462)</f>
        <v>8626.65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3476579.42</v>
      </c>
      <c r="H648" s="104">
        <f>L209+L227+L245</f>
        <v>3476579.42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660300.45000000019</v>
      </c>
      <c r="H649" s="104">
        <f>(J258+J339)-(J256+J337)</f>
        <v>660300.45000000007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1661873.17</v>
      </c>
      <c r="H650" s="104">
        <f>H599</f>
        <v>1661873.1700000002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562981.46000000008</v>
      </c>
      <c r="H651" s="104">
        <f>I599</f>
        <v>562981.46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1251724.79</v>
      </c>
      <c r="H652" s="104">
        <f>J599</f>
        <v>1251724.79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27388.62</v>
      </c>
      <c r="H653" s="104">
        <f>K264+K346</f>
        <v>27388.62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33971998.360000007</v>
      </c>
      <c r="G661" s="19">
        <f>(L230+L310+L360)</f>
        <v>11816283.750000002</v>
      </c>
      <c r="H661" s="19">
        <f>(L248+L329+L361)</f>
        <v>25448141.190000005</v>
      </c>
      <c r="I661" s="19">
        <f>SUM(F661:H661)</f>
        <v>71236423.300000012</v>
      </c>
      <c r="J661" s="13"/>
      <c r="K661" s="13"/>
      <c r="L661" s="13"/>
      <c r="M661" s="9"/>
    </row>
    <row r="662" spans="1:13" s="3" customFormat="1" ht="12.2" customHeight="1" x14ac:dyDescent="0.2">
      <c r="A662" s="1" t="s">
        <v>127</v>
      </c>
      <c r="F662" s="19">
        <f>(L359/IF(SUM(L359:L361)=0,1,SUM(L359:L361))*(SUM(G97:G110)))</f>
        <v>111608.052757695</v>
      </c>
      <c r="G662" s="19">
        <f>(L360/IF(SUM(L359:L361)=0,1,SUM(L359:L361))*(SUM(G97:G110)))</f>
        <v>26028.092432707392</v>
      </c>
      <c r="H662" s="19">
        <f>(L361/IF(SUM(L359:L361)=0,1,SUM(L359:L361))*(SUM(G97:G110)))</f>
        <v>62473.234809597634</v>
      </c>
      <c r="I662" s="19">
        <f>SUM(F662:H662)</f>
        <v>200109.38000000003</v>
      </c>
      <c r="J662"/>
      <c r="K662" s="13"/>
      <c r="L662" s="13"/>
      <c r="M662" s="8"/>
    </row>
    <row r="663" spans="1:13" s="3" customFormat="1" ht="12.2" customHeight="1" x14ac:dyDescent="0.2">
      <c r="A663" s="1" t="s">
        <v>128</v>
      </c>
      <c r="F663" s="19">
        <f>(L209+L288)-(J209+J288)</f>
        <v>1710049.97</v>
      </c>
      <c r="G663" s="19">
        <f>(L227+L307)-(J227+J307)</f>
        <v>578712.66</v>
      </c>
      <c r="H663" s="19">
        <f>(L245+L326)-(J245+J326)</f>
        <v>1286136.79</v>
      </c>
      <c r="I663" s="19">
        <f>SUM(F663:H663)</f>
        <v>3574899.42</v>
      </c>
      <c r="J663"/>
      <c r="K663" s="13"/>
      <c r="L663" s="13"/>
      <c r="M663" s="9"/>
    </row>
    <row r="664" spans="1:13" s="3" customFormat="1" ht="12.2" customHeight="1" x14ac:dyDescent="0.15">
      <c r="A664" s="198" t="s">
        <v>129</v>
      </c>
      <c r="B664" s="169"/>
      <c r="C664" s="169"/>
      <c r="D664" s="169"/>
      <c r="E664" s="169"/>
      <c r="F664" s="199">
        <f>SUM(F576:F588)+SUM(H603:H605)+SUM(L612)</f>
        <v>893852.93</v>
      </c>
      <c r="G664" s="199">
        <f>SUM(G576:G588)+SUM(I603:I605)+L613</f>
        <v>290434.76</v>
      </c>
      <c r="H664" s="199">
        <f>SUM(H576:H588)+SUM(J603:J605)+L614</f>
        <v>2016828.6800000002</v>
      </c>
      <c r="I664" s="19">
        <f>SUM(F664:H664)</f>
        <v>3201116.37</v>
      </c>
      <c r="J664" s="13"/>
      <c r="K664" s="13"/>
      <c r="L664" s="13"/>
      <c r="M664" s="9"/>
    </row>
    <row r="665" spans="1:13" s="3" customFormat="1" ht="12.2" customHeight="1" x14ac:dyDescent="0.15">
      <c r="A665" s="1" t="s">
        <v>130</v>
      </c>
      <c r="F665" s="19">
        <f>F661-SUM(F662:F664)</f>
        <v>31256487.407242313</v>
      </c>
      <c r="G665" s="19">
        <f>G661-SUM(G662:G664)</f>
        <v>10921108.237567294</v>
      </c>
      <c r="H665" s="19">
        <f>H661-SUM(H662:H664)</f>
        <v>22082702.485190406</v>
      </c>
      <c r="I665" s="19">
        <f>I661-SUM(I662:I664)</f>
        <v>64260298.13000001</v>
      </c>
      <c r="J665" s="13"/>
      <c r="K665" s="13"/>
      <c r="L665" s="13"/>
      <c r="M665" s="8"/>
    </row>
    <row r="666" spans="1:13" s="3" customFormat="1" ht="12.2" customHeight="1" x14ac:dyDescent="0.25">
      <c r="A666" s="1" t="s">
        <v>131</v>
      </c>
      <c r="F666" s="360">
        <v>1973.16</v>
      </c>
      <c r="G666" s="360">
        <v>703.9</v>
      </c>
      <c r="H666" s="360">
        <v>1470.03</v>
      </c>
      <c r="I666" s="19">
        <f>SUM(F666:H666)</f>
        <v>4147.09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15840.83</v>
      </c>
      <c r="G668" s="19">
        <f>ROUND(G665/G666,2)</f>
        <v>15515.14</v>
      </c>
      <c r="H668" s="19">
        <f>ROUND(H665/H666,2)</f>
        <v>15021.94</v>
      </c>
      <c r="I668" s="19">
        <f>ROUND(I665/I666,2)</f>
        <v>15495.27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-20.61</v>
      </c>
      <c r="I671" s="19">
        <f>SUM(F671:H671)</f>
        <v>-20.61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15840.83</v>
      </c>
      <c r="G673" s="19">
        <f>ROUND((G665+G670)/(G666+G671),2)</f>
        <v>15515.14</v>
      </c>
      <c r="H673" s="19">
        <f>ROUND((H665+H670)/(H666+H671),2)</f>
        <v>15235.54</v>
      </c>
      <c r="I673" s="19">
        <f>ROUND((I665+I670)/(I666+I671),2)</f>
        <v>15572.67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B4" zoomScaleNormal="100" workbookViewId="0">
      <selection activeCell="E26" sqref="E26"/>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37788.03</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59">
        <v>876200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37788.03+876200-182223.68-14904.25</f>
        <v>716860.10000000009</v>
      </c>
      <c r="F22" s="346"/>
    </row>
    <row r="23" spans="2:8" x14ac:dyDescent="0.25">
      <c r="B23" s="346"/>
      <c r="C23" s="346"/>
      <c r="D23" s="346"/>
      <c r="E23" s="346"/>
      <c r="F23" s="346"/>
    </row>
    <row r="24" spans="2:8" ht="26.25" customHeight="1" x14ac:dyDescent="0.25">
      <c r="B24" s="346"/>
      <c r="C24" s="348" t="s">
        <v>1661</v>
      </c>
      <c r="D24" s="346"/>
      <c r="E24" s="341">
        <f>3340.1+3770+81500.97+126.15-25349.8</f>
        <v>63387.42</v>
      </c>
      <c r="F24" s="346"/>
    </row>
    <row r="25" spans="2:8" ht="18" x14ac:dyDescent="0.25">
      <c r="B25" s="346"/>
      <c r="C25" s="349"/>
      <c r="D25" s="346"/>
      <c r="E25" s="346"/>
      <c r="F25" s="346"/>
    </row>
    <row r="26" spans="2:8" ht="27.75" customHeight="1" x14ac:dyDescent="0.25">
      <c r="B26" s="346"/>
      <c r="C26" s="348" t="s">
        <v>1662</v>
      </c>
      <c r="D26" s="346"/>
      <c r="E26" s="341">
        <f>3000+12773.68+14904.25+768333.72+126.15-14904.25-156873.88</f>
        <v>627359.67000000004</v>
      </c>
      <c r="F26" s="346"/>
    </row>
    <row r="27" spans="2:8" x14ac:dyDescent="0.25">
      <c r="B27" s="346"/>
      <c r="C27" s="348"/>
      <c r="D27" s="346"/>
      <c r="E27" s="346"/>
      <c r="F27" s="346"/>
    </row>
    <row r="28" spans="2:8" ht="15.75" customHeight="1" x14ac:dyDescent="0.25">
      <c r="B28" s="346"/>
      <c r="C28" s="348" t="s">
        <v>1663</v>
      </c>
      <c r="D28" s="346"/>
      <c r="E28" s="342">
        <f>14904.25+182223.68</f>
        <v>197127.93</v>
      </c>
      <c r="F28" s="346"/>
    </row>
    <row r="29" spans="2:8" x14ac:dyDescent="0.25">
      <c r="B29" s="346"/>
      <c r="C29" s="346"/>
      <c r="D29" s="346"/>
      <c r="E29" s="346"/>
      <c r="F29" s="346"/>
    </row>
    <row r="30" spans="2:8" ht="16.5" customHeight="1" x14ac:dyDescent="0.25">
      <c r="B30" s="346"/>
      <c r="C30" s="348" t="s">
        <v>1664</v>
      </c>
      <c r="D30" s="346"/>
      <c r="E30" s="341">
        <f>14904.25+168742.23</f>
        <v>183646.48</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3" t="str">
        <f>'DOE25'!A2</f>
        <v>Bedford</v>
      </c>
      <c r="C5" s="364"/>
      <c r="D5" s="364"/>
      <c r="E5" s="364"/>
      <c r="F5" s="364"/>
    </row>
    <row r="8" spans="1:9" ht="18" x14ac:dyDescent="0.25">
      <c r="A8" s="317" t="s">
        <v>1576</v>
      </c>
      <c r="F8" s="324" t="s">
        <v>1594</v>
      </c>
    </row>
    <row r="9" spans="1:9" ht="15" x14ac:dyDescent="0.2">
      <c r="A9" s="315" t="s">
        <v>1577</v>
      </c>
      <c r="B9" s="318">
        <f>'DOE25'!G97</f>
        <v>200109.38</v>
      </c>
      <c r="F9" s="315" t="s">
        <v>1590</v>
      </c>
    </row>
    <row r="10" spans="1:9" ht="15" x14ac:dyDescent="0.2">
      <c r="A10" s="315" t="s">
        <v>1578</v>
      </c>
      <c r="B10" s="318">
        <f>'DOE25'!G112-'DOE25'!G97</f>
        <v>0</v>
      </c>
      <c r="F10" s="315" t="s">
        <v>1591</v>
      </c>
    </row>
    <row r="11" spans="1:9" ht="15" x14ac:dyDescent="0.2">
      <c r="A11" s="315" t="s">
        <v>1579</v>
      </c>
      <c r="B11" s="318">
        <f>'DOE25'!G140</f>
        <v>21610.07</v>
      </c>
      <c r="F11" s="315" t="s">
        <v>1592</v>
      </c>
    </row>
    <row r="12" spans="1:9" ht="15" x14ac:dyDescent="0.2">
      <c r="A12" s="315" t="s">
        <v>1580</v>
      </c>
      <c r="B12" s="318">
        <f>'DOE25'!G170</f>
        <v>657190.2300000001</v>
      </c>
      <c r="F12" s="315" t="s">
        <v>1593</v>
      </c>
    </row>
    <row r="13" spans="1:9" ht="15" x14ac:dyDescent="0.2">
      <c r="A13" s="315" t="s">
        <v>1581</v>
      </c>
      <c r="B13" s="318">
        <f>'DOE25'!G193-'DOE25'!G180</f>
        <v>0</v>
      </c>
      <c r="F13" s="315" t="s">
        <v>1603</v>
      </c>
    </row>
    <row r="14" spans="1:9" ht="18" x14ac:dyDescent="0.25">
      <c r="A14" s="317" t="s">
        <v>732</v>
      </c>
      <c r="B14" s="319">
        <f>SUM(B9:B13)</f>
        <v>878909.68000000017</v>
      </c>
    </row>
    <row r="16" spans="1:9" ht="18" x14ac:dyDescent="0.25">
      <c r="A16" s="317" t="s">
        <v>786</v>
      </c>
      <c r="F16" s="324" t="s">
        <v>1595</v>
      </c>
    </row>
    <row r="17" spans="1:6" ht="15" x14ac:dyDescent="0.2">
      <c r="A17" s="315" t="s">
        <v>1582</v>
      </c>
      <c r="B17" s="318">
        <f>'DOE25'!L363-'DOE25'!L362</f>
        <v>992117.84</v>
      </c>
      <c r="F17" s="315" t="s">
        <v>1596</v>
      </c>
    </row>
    <row r="18" spans="1:6" ht="15" x14ac:dyDescent="0.2">
      <c r="A18" s="315" t="s">
        <v>1583</v>
      </c>
      <c r="B18" s="328"/>
      <c r="F18" s="324" t="s">
        <v>1620</v>
      </c>
    </row>
    <row r="19" spans="1:6" ht="18" x14ac:dyDescent="0.25">
      <c r="A19" s="317" t="s">
        <v>725</v>
      </c>
      <c r="B19" s="319">
        <f>SUM(B17:B18)</f>
        <v>992117.84</v>
      </c>
    </row>
    <row r="21" spans="1:6" ht="18.75" thickBot="1" x14ac:dyDescent="0.3">
      <c r="A21" s="317" t="s">
        <v>1584</v>
      </c>
    </row>
    <row r="22" spans="1:6" ht="18.75" thickTop="1" x14ac:dyDescent="0.25">
      <c r="A22" s="317" t="s">
        <v>1585</v>
      </c>
      <c r="B22" s="323">
        <f>B14-B19</f>
        <v>-113208.1599999998</v>
      </c>
      <c r="F22" s="315" t="s">
        <v>1597</v>
      </c>
    </row>
    <row r="26" spans="1:6" ht="18" x14ac:dyDescent="0.25">
      <c r="A26" s="317" t="s">
        <v>186</v>
      </c>
    </row>
    <row r="27" spans="1:6" ht="15" x14ac:dyDescent="0.2">
      <c r="A27" s="315" t="s">
        <v>1586</v>
      </c>
      <c r="B27" s="318">
        <f>'DOE25'!G180</f>
        <v>27388.62</v>
      </c>
      <c r="F27" s="315" t="s">
        <v>1598</v>
      </c>
    </row>
    <row r="28" spans="1:6" ht="15" x14ac:dyDescent="0.2">
      <c r="A28" s="315" t="s">
        <v>1588</v>
      </c>
      <c r="B28" s="318">
        <f>'DOE25'!L362</f>
        <v>53584.33</v>
      </c>
      <c r="F28" s="315" t="s">
        <v>1599</v>
      </c>
    </row>
    <row r="31" spans="1:6" ht="15" x14ac:dyDescent="0.2">
      <c r="A31" s="315" t="s">
        <v>1628</v>
      </c>
      <c r="B31" s="318">
        <f>'DOE25'!G466</f>
        <v>214313.3</v>
      </c>
      <c r="F31" s="315" t="s">
        <v>1600</v>
      </c>
    </row>
    <row r="33" spans="1:6" ht="15" x14ac:dyDescent="0.2">
      <c r="A33" s="315" t="s">
        <v>1629</v>
      </c>
      <c r="B33" s="318">
        <f>'DOE25'!G477</f>
        <v>74909.430000000051</v>
      </c>
      <c r="F33" s="315" t="s">
        <v>1601</v>
      </c>
    </row>
    <row r="36" spans="1:6" ht="15" x14ac:dyDescent="0.2">
      <c r="A36" s="315" t="s">
        <v>1587</v>
      </c>
      <c r="B36" s="329">
        <v>83836.13</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Bedford</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20070019.109999999</v>
      </c>
      <c r="C9" s="229">
        <f>'DOE25'!G198+'DOE25'!G216+'DOE25'!G234+'DOE25'!G277+'DOE25'!G296+'DOE25'!G315</f>
        <v>10700966.970000001</v>
      </c>
    </row>
    <row r="10" spans="1:3" x14ac:dyDescent="0.2">
      <c r="A10" t="s">
        <v>775</v>
      </c>
      <c r="B10" s="240">
        <f>36098.28+19214359.74+1</f>
        <v>19250459.02</v>
      </c>
      <c r="C10" s="240">
        <f>2107241.86+873133.23+1667809.52+141392.65-3319.85-1106.62-27130.27+46169.03-1084.03-361.34-8858.86+109465.58-2371.32-812.7-19378.77+146686+2555151.24-8081.28-18415.43-13749.7-27456.78-47440.4+1024686.22-12427.4+1913012.58-5558.09-4469.67-8448.63</f>
        <v>10374276.77</v>
      </c>
    </row>
    <row r="11" spans="1:3" x14ac:dyDescent="0.2">
      <c r="A11" t="s">
        <v>776</v>
      </c>
      <c r="B11" s="240">
        <f>739402.28-265555.62</f>
        <v>473846.66000000003</v>
      </c>
      <c r="C11" s="240">
        <f>49447.91+3273.9+2641.73+47440.4+27456.78+13749.7+18415.43+8081.28+12427.4+5558.09+4469.67</f>
        <v>192962.29</v>
      </c>
    </row>
    <row r="12" spans="1:3" x14ac:dyDescent="0.2">
      <c r="A12" t="s">
        <v>777</v>
      </c>
      <c r="B12" s="240">
        <f>80157.81+265555.62</f>
        <v>345713.43</v>
      </c>
      <c r="C12" s="240">
        <f>6128.9+3319.85+1106.62+27130.27+1084.03+361.34+8858.86+2371.32+812.7+19378.77+63175.25</f>
        <v>133727.90999999997</v>
      </c>
    </row>
    <row r="13" spans="1:3" x14ac:dyDescent="0.2">
      <c r="A13" t="str">
        <f>IF(B9=B13,IF(C9=C13,"Check Total OK","Check Total Error"),"Check Total Error")</f>
        <v>Check Total OK</v>
      </c>
      <c r="B13" s="231">
        <f>SUM(B10:B12)</f>
        <v>20070019.109999999</v>
      </c>
      <c r="C13" s="231">
        <f>SUM(C10:C12)</f>
        <v>10700966.969999999</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7909020</v>
      </c>
      <c r="C18" s="229">
        <f>'DOE25'!G199+'DOE25'!G217+'DOE25'!G235+'DOE25'!G278+'DOE25'!G297+'DOE25'!G316</f>
        <v>3534996.25</v>
      </c>
    </row>
    <row r="19" spans="1:3" x14ac:dyDescent="0.2">
      <c r="A19" t="s">
        <v>775</v>
      </c>
      <c r="B19" s="240">
        <f>503259.77+3605020.53</f>
        <v>4108280.3</v>
      </c>
      <c r="C19" s="240">
        <f>64281.29+20989.81+45915.21+537553.11+174128.5+240722.47+149684.49+613352.66+198682.1+274666.59</f>
        <v>2319976.23</v>
      </c>
    </row>
    <row r="20" spans="1:3" x14ac:dyDescent="0.2">
      <c r="A20" t="s">
        <v>776</v>
      </c>
      <c r="B20" s="240">
        <f>58483.99+3742255.71-439041.95-148725.51-128736.13</f>
        <v>3084236.1100000003</v>
      </c>
      <c r="C20" s="240">
        <f>82627.69+17971.5+28150.46+32041.08+28853.72+22669.25+28778.39+24910.44+51852.32+127491.93+68218.1+106856.45+121624.85+109525.96+86050.3+43187.9+37383.25+196826.43-82627.69-28778.39-24910.44-127491.93-43187.9-37383.25</f>
        <v>870640.42000000027</v>
      </c>
    </row>
    <row r="21" spans="1:3" x14ac:dyDescent="0.2">
      <c r="A21" t="s">
        <v>777</v>
      </c>
      <c r="B21" s="240">
        <f>439041.95+148725.51+128736.13</f>
        <v>716503.59</v>
      </c>
      <c r="C21" s="240">
        <f>82627.69+28778.39+24910.44+127491.93+43187.9+37383.25</f>
        <v>344379.6</v>
      </c>
    </row>
    <row r="22" spans="1:3" x14ac:dyDescent="0.2">
      <c r="A22" t="str">
        <f>IF(B18=B22,IF(C18=C22,"Check Total OK","Check Total Error"),"Check Total Error")</f>
        <v>Check Total OK</v>
      </c>
      <c r="B22" s="231">
        <f>SUM(B19:B21)</f>
        <v>7909020</v>
      </c>
      <c r="C22" s="231">
        <f>SUM(C19:C21)</f>
        <v>3534996.2500000005</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663037.77</v>
      </c>
      <c r="C36" s="235">
        <f>'DOE25'!G201+'DOE25'!G219+'DOE25'!G237+'DOE25'!G280+'DOE25'!G299+'DOE25'!G318</f>
        <v>336301.36</v>
      </c>
    </row>
    <row r="37" spans="1:3" x14ac:dyDescent="0.2">
      <c r="A37" t="s">
        <v>775</v>
      </c>
      <c r="B37" s="240">
        <f>558326.61+125</f>
        <v>558451.61</v>
      </c>
      <c r="C37" s="240">
        <f>5914.52+30002.75+33173.32+68119.48+5183.59+28034.99+135492.72+9.56</f>
        <v>305930.93</v>
      </c>
    </row>
    <row r="38" spans="1:3" x14ac:dyDescent="0.2">
      <c r="A38" t="s">
        <v>776</v>
      </c>
      <c r="B38" s="240"/>
      <c r="C38" s="240"/>
    </row>
    <row r="39" spans="1:3" x14ac:dyDescent="0.2">
      <c r="A39" t="s">
        <v>777</v>
      </c>
      <c r="B39" s="240">
        <v>104586.16</v>
      </c>
      <c r="C39" s="240">
        <v>30370.43</v>
      </c>
    </row>
    <row r="40" spans="1:3" x14ac:dyDescent="0.2">
      <c r="A40" t="str">
        <f>IF(B36=B40,IF(C36=C40,"Check Total OK","Check Total Error"),"Check Total Error")</f>
        <v>Check Total OK</v>
      </c>
      <c r="B40" s="231">
        <f>SUM(B37:B39)</f>
        <v>663037.77</v>
      </c>
      <c r="C40" s="231">
        <f>SUM(C37:C39)</f>
        <v>336301.36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Bedford</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46177936.93</v>
      </c>
      <c r="D5" s="20">
        <f>SUM('DOE25'!L198:L201)+SUM('DOE25'!L216:L219)+SUM('DOE25'!L234:L237)-F5-G5-H5</f>
        <v>46025096.130000003</v>
      </c>
      <c r="E5" s="243"/>
      <c r="F5" s="244"/>
      <c r="G5" s="53">
        <f>SUM('DOE25'!J198:J201)+SUM('DOE25'!J216:J219)+SUM('DOE25'!J234:J237)</f>
        <v>92884.25</v>
      </c>
      <c r="H5" s="53">
        <f>SUM('DOE25'!K198:K201)+SUM('DOE25'!K216:K219)+SUM('DOE25'!K234:K237)</f>
        <v>59956.55</v>
      </c>
      <c r="I5" s="254"/>
    </row>
    <row r="6" spans="1:9" x14ac:dyDescent="0.2">
      <c r="A6" s="32">
        <v>2100</v>
      </c>
      <c r="B6" t="s">
        <v>796</v>
      </c>
      <c r="C6" s="273">
        <f t="shared" si="0"/>
        <v>4918031.8299999991</v>
      </c>
      <c r="D6" s="20">
        <f>'DOE25'!L203+'DOE25'!L221+'DOE25'!L239-F6-G6-H6</f>
        <v>4913590.4799999995</v>
      </c>
      <c r="E6" s="243"/>
      <c r="F6" s="244"/>
      <c r="G6" s="53">
        <f>'DOE25'!J203+'DOE25'!J221+'DOE25'!J239</f>
        <v>4441.3500000000004</v>
      </c>
      <c r="H6" s="53">
        <f>'DOE25'!K203+'DOE25'!K221+'DOE25'!K239</f>
        <v>0</v>
      </c>
      <c r="I6" s="254"/>
    </row>
    <row r="7" spans="1:9" x14ac:dyDescent="0.2">
      <c r="A7" s="32">
        <v>2200</v>
      </c>
      <c r="B7" t="s">
        <v>821</v>
      </c>
      <c r="C7" s="273">
        <f t="shared" si="0"/>
        <v>1450160.13</v>
      </c>
      <c r="D7" s="20">
        <f>'DOE25'!L204+'DOE25'!L222+'DOE25'!L240-F7-G7-H7</f>
        <v>1145127.6299999999</v>
      </c>
      <c r="E7" s="243"/>
      <c r="F7" s="244"/>
      <c r="G7" s="53">
        <f>'DOE25'!J204+'DOE25'!J222+'DOE25'!J240</f>
        <v>288032.99</v>
      </c>
      <c r="H7" s="53">
        <f>'DOE25'!K204+'DOE25'!K222+'DOE25'!K240</f>
        <v>16999.510000000002</v>
      </c>
      <c r="I7" s="254"/>
    </row>
    <row r="8" spans="1:9" x14ac:dyDescent="0.2">
      <c r="A8" s="32">
        <v>2300</v>
      </c>
      <c r="B8" t="s">
        <v>797</v>
      </c>
      <c r="C8" s="273">
        <f t="shared" si="0"/>
        <v>1529500.33</v>
      </c>
      <c r="D8" s="243"/>
      <c r="E8" s="20">
        <f>'DOE25'!L205+'DOE25'!L223+'DOE25'!L241-F8-G8-H8-D9-D11</f>
        <v>1478647.95</v>
      </c>
      <c r="F8" s="244"/>
      <c r="G8" s="53">
        <f>'DOE25'!J205+'DOE25'!J223+'DOE25'!J241</f>
        <v>20113.05</v>
      </c>
      <c r="H8" s="53">
        <f>'DOE25'!K205+'DOE25'!K223+'DOE25'!K241</f>
        <v>30739.33</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4931017.7200000007</v>
      </c>
      <c r="D12" s="20">
        <f>'DOE25'!L206+'DOE25'!L224+'DOE25'!L242-F12-G12-H12</f>
        <v>4880201.4300000006</v>
      </c>
      <c r="E12" s="243"/>
      <c r="F12" s="244"/>
      <c r="G12" s="53">
        <f>'DOE25'!J206+'DOE25'!J224+'DOE25'!J242</f>
        <v>4364</v>
      </c>
      <c r="H12" s="53">
        <f>'DOE25'!K206+'DOE25'!K224+'DOE25'!K242</f>
        <v>46452.29</v>
      </c>
      <c r="I12" s="254"/>
    </row>
    <row r="13" spans="1:9" x14ac:dyDescent="0.2">
      <c r="A13" s="32">
        <v>2500</v>
      </c>
      <c r="B13" t="s">
        <v>798</v>
      </c>
      <c r="C13" s="273">
        <f t="shared" si="0"/>
        <v>749805.39</v>
      </c>
      <c r="D13" s="243"/>
      <c r="E13" s="20">
        <f>'DOE25'!L207+'DOE25'!L225+'DOE25'!L243-F13-G13-H13</f>
        <v>748145.65</v>
      </c>
      <c r="F13" s="244"/>
      <c r="G13" s="53">
        <f>'DOE25'!J207+'DOE25'!J225+'DOE25'!J243</f>
        <v>0</v>
      </c>
      <c r="H13" s="53">
        <f>'DOE25'!K207+'DOE25'!K225+'DOE25'!K243</f>
        <v>1659.7399999999998</v>
      </c>
      <c r="I13" s="254"/>
    </row>
    <row r="14" spans="1:9" x14ac:dyDescent="0.2">
      <c r="A14" s="32">
        <v>2600</v>
      </c>
      <c r="B14" t="s">
        <v>819</v>
      </c>
      <c r="C14" s="273">
        <f t="shared" si="0"/>
        <v>4997166.4800000004</v>
      </c>
      <c r="D14" s="20">
        <f>'DOE25'!L208+'DOE25'!L226+'DOE25'!L244-F14-G14-H14</f>
        <v>4962733.1500000004</v>
      </c>
      <c r="E14" s="243"/>
      <c r="F14" s="244"/>
      <c r="G14" s="53">
        <f>'DOE25'!J208+'DOE25'!J226+'DOE25'!J244</f>
        <v>33586.82</v>
      </c>
      <c r="H14" s="53">
        <f>'DOE25'!K208+'DOE25'!K226+'DOE25'!K244</f>
        <v>846.51</v>
      </c>
      <c r="I14" s="254"/>
    </row>
    <row r="15" spans="1:9" x14ac:dyDescent="0.2">
      <c r="A15" s="32">
        <v>2700</v>
      </c>
      <c r="B15" t="s">
        <v>799</v>
      </c>
      <c r="C15" s="273">
        <f t="shared" si="0"/>
        <v>3476579.42</v>
      </c>
      <c r="D15" s="20">
        <f>'DOE25'!L209+'DOE25'!L227+'DOE25'!L245-F15-G15-H15</f>
        <v>3476579.42</v>
      </c>
      <c r="E15" s="243"/>
      <c r="F15" s="244"/>
      <c r="G15" s="53">
        <f>'DOE25'!J209+'DOE25'!J227+'DOE25'!J245</f>
        <v>0</v>
      </c>
      <c r="H15" s="53">
        <f>'DOE25'!K209+'DOE25'!K227+'DOE25'!K245</f>
        <v>0</v>
      </c>
      <c r="I15" s="254"/>
    </row>
    <row r="16" spans="1:9" x14ac:dyDescent="0.2">
      <c r="A16" s="32">
        <v>2800</v>
      </c>
      <c r="B16" t="s">
        <v>800</v>
      </c>
      <c r="C16" s="273">
        <f t="shared" si="0"/>
        <v>44335.55</v>
      </c>
      <c r="D16" s="243"/>
      <c r="E16" s="20">
        <f>'DOE25'!L210+'DOE25'!L228+'DOE25'!L246-F16-G16-H16</f>
        <v>44335.55</v>
      </c>
      <c r="F16" s="244"/>
      <c r="G16" s="53">
        <f>'DOE25'!J210+'DOE25'!J228+'DOE25'!J246</f>
        <v>0</v>
      </c>
      <c r="H16" s="53">
        <f>'DOE25'!K210+'DOE25'!K228+'DOE25'!K246</f>
        <v>0</v>
      </c>
      <c r="I16" s="254"/>
    </row>
    <row r="17" spans="1:9" x14ac:dyDescent="0.2">
      <c r="A17" s="32">
        <v>1600</v>
      </c>
      <c r="B17" t="s">
        <v>801</v>
      </c>
      <c r="C17" s="273">
        <f t="shared" si="0"/>
        <v>1393.16</v>
      </c>
      <c r="D17" s="20">
        <f>'DOE25'!L252-F17-G17-H17</f>
        <v>1393.16</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793052</v>
      </c>
      <c r="D22" s="243"/>
      <c r="E22" s="243"/>
      <c r="F22" s="243"/>
      <c r="G22" s="53">
        <f>'DOE25'!L256+'DOE25'!L337</f>
        <v>793052</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2911490</v>
      </c>
      <c r="D25" s="243"/>
      <c r="E25" s="243"/>
      <c r="F25" s="253"/>
      <c r="G25" s="251"/>
      <c r="H25" s="251"/>
      <c r="I25" s="252">
        <f>'DOE25'!L261+'DOE25'!L262+'DOE25'!L342+'DOE25'!L343</f>
        <v>2911490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754448.85</v>
      </c>
      <c r="D29" s="281">
        <f>'DOE25'!L359+'DOE25'!L360+'DOE25'!L361-'DOE25'!I368-F29-G29-H29</f>
        <v>748597.38</v>
      </c>
      <c r="E29" s="243"/>
      <c r="F29" s="244"/>
      <c r="G29" s="53">
        <f>'DOE25'!J359+'DOE25'!J360+'DOE25'!J361</f>
        <v>2823.77</v>
      </c>
      <c r="H29" s="53">
        <f>'DOE25'!K359+'DOE25'!K360+'DOE25'!K361</f>
        <v>3027.7</v>
      </c>
      <c r="I29" s="254"/>
    </row>
    <row r="30" spans="1:9" x14ac:dyDescent="0.2">
      <c r="A30" s="32"/>
      <c r="C30" s="274"/>
      <c r="D30" s="20"/>
      <c r="E30" s="278"/>
      <c r="F30" s="268"/>
      <c r="G30" s="53"/>
      <c r="H30" s="53"/>
      <c r="I30" s="254"/>
    </row>
    <row r="31" spans="1:9" x14ac:dyDescent="0.2">
      <c r="A31" s="32" t="s">
        <v>818</v>
      </c>
      <c r="B31" t="s">
        <v>817</v>
      </c>
      <c r="C31" s="273">
        <f>SUM(D31:I31)</f>
        <v>1987436.6799999997</v>
      </c>
      <c r="D31" s="20">
        <f>'DOE25'!L291+'DOE25'!L310+'DOE25'!L329+'DOE25'!L334+'DOE25'!L335+'DOE25'!L336-F31-G31-H31</f>
        <v>1766183.8699999996</v>
      </c>
      <c r="E31" s="243"/>
      <c r="F31" s="244"/>
      <c r="G31" s="53">
        <f>'DOE25'!J291+'DOE25'!J310+'DOE25'!J329+'DOE25'!J334+'DOE25'!J335+'DOE25'!J336</f>
        <v>216877.99000000002</v>
      </c>
      <c r="H31" s="53">
        <f>'DOE25'!K291+'DOE25'!K310+'DOE25'!K329+'DOE25'!K334+'DOE25'!K335+'DOE25'!K336</f>
        <v>4374.82</v>
      </c>
      <c r="I31" s="254"/>
    </row>
    <row r="32" spans="1:9" ht="12" thickBot="1" x14ac:dyDescent="0.25">
      <c r="C32" s="274"/>
      <c r="G32" s="249"/>
      <c r="H32" s="249"/>
      <c r="I32" s="256"/>
    </row>
    <row r="33" spans="1:9" ht="12" thickTop="1" x14ac:dyDescent="0.2">
      <c r="B33" t="s">
        <v>809</v>
      </c>
      <c r="D33" s="245">
        <f t="shared" ref="D33:I33" si="1">SUM(D5:D31)</f>
        <v>67919502.650000006</v>
      </c>
      <c r="E33" s="245">
        <f t="shared" si="1"/>
        <v>2271129.15</v>
      </c>
      <c r="F33" s="245">
        <f t="shared" si="1"/>
        <v>0</v>
      </c>
      <c r="G33" s="245">
        <f t="shared" si="1"/>
        <v>1456176.22</v>
      </c>
      <c r="H33" s="245">
        <f t="shared" si="1"/>
        <v>164056.45000000001</v>
      </c>
      <c r="I33" s="245">
        <f t="shared" si="1"/>
        <v>2911490</v>
      </c>
    </row>
    <row r="35" spans="1:9" ht="12" thickBot="1" x14ac:dyDescent="0.25">
      <c r="B35" s="249" t="s">
        <v>831</v>
      </c>
      <c r="D35" s="250">
        <f>E33</f>
        <v>2271129.15</v>
      </c>
      <c r="E35" s="246"/>
      <c r="F35" s="333" t="s">
        <v>1632</v>
      </c>
      <c r="G35" s="334"/>
      <c r="H35" s="334"/>
      <c r="I35" s="334"/>
    </row>
    <row r="36" spans="1:9" ht="12" thickTop="1" x14ac:dyDescent="0.2">
      <c r="B36" t="s">
        <v>810</v>
      </c>
      <c r="D36" s="20">
        <f>D33</f>
        <v>67919502.650000006</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9" sqref="D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Bedford</v>
      </c>
      <c r="B2" s="126">
        <f>'DOE25'!B2</f>
        <v>41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33418659.279999997</v>
      </c>
      <c r="G4" s="300">
        <f>'DOE25'!L212+'DOE25'!L291</f>
        <v>33418659.280000005</v>
      </c>
      <c r="H4" s="353">
        <f>F4-G4</f>
        <v>0</v>
      </c>
      <c r="I4" s="372" t="str">
        <f>IF(H4=0,"","ISSUES!! Please review page 7 and 11 totals in comparison with total on this page")</f>
        <v/>
      </c>
      <c r="N4"/>
    </row>
    <row r="5" spans="1:18" x14ac:dyDescent="0.2">
      <c r="A5" s="21" t="s">
        <v>936</v>
      </c>
      <c r="B5" s="301">
        <f>IFERROR(VLOOKUP(A5,'School Tables'!$C$3:$D$365,2,FALSE),"")</f>
        <v>21000</v>
      </c>
      <c r="C5" s="294" t="str">
        <f>IFERROR(INDEX('School Tables'!$B$3:$B$365,MATCH('School Level Expenditures'!B5,'School Tables'!$D$3:$D$365,0)),"")</f>
        <v>Bedford</v>
      </c>
      <c r="D5" s="291">
        <f>4553.36+3279244.97+508460.1+728954.2+509394.67+477802.3+97605.29+34010.53+59520.57+21224.05+146740.29+890507.87+104466.59+162366.2</f>
        <v>7024850.9900000002</v>
      </c>
      <c r="E5" s="291">
        <v>207730.18</v>
      </c>
      <c r="F5" s="304">
        <f>D5+E5</f>
        <v>7232581.1699999999</v>
      </c>
      <c r="G5" s="294"/>
      <c r="H5" s="294"/>
      <c r="I5" s="373"/>
      <c r="N5"/>
    </row>
    <row r="6" spans="1:18" x14ac:dyDescent="0.2">
      <c r="A6" s="21" t="s">
        <v>1643</v>
      </c>
      <c r="B6" s="301">
        <f>IFERROR(VLOOKUP(A6,'School Tables'!$C$3:$D$365,2,FALSE),"")</f>
        <v>20990</v>
      </c>
      <c r="C6" s="294" t="str">
        <f>IFERROR(INDEX('School Tables'!$B$3:$B$365,MATCH('School Level Expenditures'!B6,'School Tables'!$D$3:$D$365,0)),"")</f>
        <v>Bedford</v>
      </c>
      <c r="D6" s="291">
        <f>1052.48+2828.29+2998090.39+420032.26+602179.55+420804.29+360968.38+136649.04+30309.45+57921.39+21293.12+121220.24+810580.57+86298.49+134128.6</f>
        <v>6204356.54</v>
      </c>
      <c r="E6" s="291">
        <v>325264.90000000002</v>
      </c>
      <c r="F6" s="304">
        <f t="shared" ref="F6:F20" si="0">D6+E6</f>
        <v>6529621.4400000004</v>
      </c>
      <c r="G6" s="294"/>
      <c r="H6" s="294"/>
      <c r="I6" s="373"/>
      <c r="N6"/>
    </row>
    <row r="7" spans="1:18" x14ac:dyDescent="0.2">
      <c r="A7" s="21" t="s">
        <v>938</v>
      </c>
      <c r="B7" s="301">
        <f>IFERROR(VLOOKUP(A7,'School Tables'!$C$3:$D$365,2,FALSE),"")</f>
        <v>27680</v>
      </c>
      <c r="C7" s="294" t="str">
        <f>IFERROR(INDEX('School Tables'!$B$3:$B$365,MATCH('School Level Expenditures'!B7,'School Tables'!$D$3:$D$365,0)),"")</f>
        <v>Bedford</v>
      </c>
      <c r="D7" s="291">
        <f>7726.98+4007.89+4051847.74+552674.02+792341.52+553689.86+534922.34+187245.98+28968.73+61627.81+33227.93+159500.31+1099784.29+113550.64+176485</f>
        <v>8357601.04</v>
      </c>
      <c r="E7" s="291">
        <v>209876.67</v>
      </c>
      <c r="F7" s="304">
        <f t="shared" si="0"/>
        <v>8567477.7100000009</v>
      </c>
      <c r="G7" s="294"/>
      <c r="H7" s="294"/>
      <c r="I7" s="354"/>
      <c r="N7"/>
    </row>
    <row r="8" spans="1:18" x14ac:dyDescent="0.2">
      <c r="A8" s="21" t="s">
        <v>937</v>
      </c>
      <c r="B8" s="301">
        <f>IFERROR(VLOOKUP(A8,'School Tables'!$C$3:$D$365,2,FALSE),"")</f>
        <v>21005</v>
      </c>
      <c r="C8" s="294" t="str">
        <f>IFERROR(INDEX('School Tables'!$B$3:$B$365,MATCH('School Level Expenditures'!B8,'School Tables'!$D$3:$D$365,0)),"")</f>
        <v>Bedford</v>
      </c>
      <c r="D8" s="291">
        <f>5712.29+4789116.31+729529.7+1045890.8+730870.61+690412.1+191233.08+2723.22+49828.58+62333.32+35699.56+210540.41+1312077.61+149886.85+232960.38</f>
        <v>10238814.819999998</v>
      </c>
      <c r="E8" s="291">
        <f>278931.73</f>
        <v>278931.73</v>
      </c>
      <c r="F8" s="304">
        <f t="shared" si="0"/>
        <v>10517746.549999999</v>
      </c>
      <c r="G8" s="294"/>
      <c r="H8" s="294"/>
      <c r="I8" s="354"/>
      <c r="N8"/>
    </row>
    <row r="9" spans="1:18" x14ac:dyDescent="0.2">
      <c r="A9" s="21" t="s">
        <v>1555</v>
      </c>
      <c r="B9" s="301">
        <f>IFERROR(VLOOKUP(A9,'School Tables'!$C$3:$D$365,2,FALSE),"")</f>
        <v>99999</v>
      </c>
      <c r="C9" s="294" t="str">
        <f>IFERROR(INDEX('School Tables'!$B$3:$B$365,MATCH('School Level Expenditures'!B9,'School Tables'!$D$3:$D$365,0)),"")</f>
        <v>Other District Expenditures</v>
      </c>
      <c r="D9" s="291">
        <f>1237.25+597979.09-33417.75+4375.92</f>
        <v>570174.51</v>
      </c>
      <c r="E9" s="291">
        <f>490+567.9</f>
        <v>1057.9000000000001</v>
      </c>
      <c r="F9" s="304">
        <f t="shared" si="0"/>
        <v>571232.41</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32395797.900000002</v>
      </c>
      <c r="E21" s="351">
        <f>SUM(E5:E20)</f>
        <v>1022861.3800000001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11687239.65</v>
      </c>
      <c r="G24" s="300">
        <f>'DOE25'!L230+'DOE25'!L310</f>
        <v>11687239.650000002</v>
      </c>
      <c r="H24" s="353">
        <f>F24-G24</f>
        <v>0</v>
      </c>
      <c r="I24" s="372" t="str">
        <f>IF(H24=0,"","ISSUES!! Please review page 8 and 12 totals in comparison with total on this page")</f>
        <v/>
      </c>
      <c r="N24"/>
    </row>
    <row r="25" spans="1:14" x14ac:dyDescent="0.2">
      <c r="A25" s="21" t="s">
        <v>940</v>
      </c>
      <c r="B25" s="301">
        <f>IFERROR(VLOOKUP(A25,'School Tables'!$I$3:$J$80,2,FALSE),"")</f>
        <v>28560</v>
      </c>
      <c r="C25" s="294" t="str">
        <f t="array" ref="C25">IFERROR(INDEX('School Tables'!$H$3:$H$80,MATCH('School Level Expenditures'!B25,'School Tables'!$J$3:$J$80,0)),"")</f>
        <v>Bedford</v>
      </c>
      <c r="D25" s="291">
        <f>5271.51+6917.22+6075725.4+1034895.04+723186.75+3385022.05</f>
        <v>11231017.970000001</v>
      </c>
      <c r="E25" s="291">
        <v>266055.5</v>
      </c>
      <c r="F25" s="304">
        <f>D25+E25</f>
        <v>11497073.470000001</v>
      </c>
      <c r="G25" s="294"/>
      <c r="H25" s="294"/>
      <c r="I25" s="373"/>
      <c r="N25"/>
    </row>
    <row r="26" spans="1:14" x14ac:dyDescent="0.2">
      <c r="A26" s="21" t="s">
        <v>1555</v>
      </c>
      <c r="B26" s="301">
        <f>IFERROR(VLOOKUP(A26,'School Tables'!$I$3:$J$80,2,FALSE),"")</f>
        <v>99999</v>
      </c>
      <c r="C26" s="294" t="str">
        <f t="array" ref="C26">IFERROR(INDEX('School Tables'!$H$3:$H$80,MATCH('School Level Expenditures'!B26,'School Tables'!$J$3:$J$80,0)),"")</f>
        <v>Other District Expenditures</v>
      </c>
      <c r="D26" s="291">
        <f>404+188333.31+1428.87</f>
        <v>190166.18</v>
      </c>
      <c r="E26" s="291"/>
      <c r="F26" s="304">
        <f t="shared" ref="F26:F32" si="1">D26+E26</f>
        <v>190166.18</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11421184.15</v>
      </c>
      <c r="E33" s="351">
        <f>SUM(E25:E32)</f>
        <v>266055.5</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25138406.530000001</v>
      </c>
      <c r="G36" s="300">
        <f>'DOE25'!L248+'DOE25'!L329</f>
        <v>25138406.530000005</v>
      </c>
      <c r="H36" s="353">
        <f>F36-G36</f>
        <v>0</v>
      </c>
      <c r="I36" s="372" t="str">
        <f>IF(H36=0,"","ISSUES!! Please review page 9 and 13 totals in comparison with total on this page")</f>
        <v/>
      </c>
      <c r="N36"/>
    </row>
    <row r="37" spans="1:14" x14ac:dyDescent="0.2">
      <c r="A37" s="21" t="s">
        <v>939</v>
      </c>
      <c r="B37" s="301">
        <f>IFERROR(VLOOKUP(A37,'School Tables'!$O$3:$P$118,2,FALSE),"")</f>
        <v>28555</v>
      </c>
      <c r="C37" s="294" t="str">
        <f t="array" ref="C37">IFERROR(INDEX('School Tables'!$N$3:$N$118,MATCH('School Level Expenditures'!B37,'School Tables'!$P$3:$P$118,0)),"")</f>
        <v>Bedford</v>
      </c>
      <c r="D37" s="291">
        <f>8640.56+24609.56+12346482.73+2263832.91-0.94+1582096.02+6547754.02</f>
        <v>22773414.859999999</v>
      </c>
      <c r="E37" s="291">
        <v>680854.8</v>
      </c>
      <c r="F37" s="304">
        <f t="shared" ref="F37:F42" si="2">D37+E37</f>
        <v>23454269.66</v>
      </c>
      <c r="G37" s="294"/>
      <c r="H37" s="294"/>
      <c r="I37" s="373"/>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f>883.75+37191.78+1601732.69+47589.5-6386.5+3125.65</f>
        <v>1684136.8699999999</v>
      </c>
      <c r="E38" s="291">
        <v>0</v>
      </c>
      <c r="F38" s="304">
        <f t="shared" si="2"/>
        <v>1684136.8699999999</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24457551.73</v>
      </c>
      <c r="E43" s="352">
        <f>SUM(E37:E42)</f>
        <v>680854.8</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Bedford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3164487.62</v>
      </c>
      <c r="D8" s="95">
        <f>'DOE25'!G9</f>
        <v>110</v>
      </c>
      <c r="E8" s="95">
        <f>'DOE25'!H9</f>
        <v>0</v>
      </c>
      <c r="F8" s="95">
        <f>'DOE25'!I9</f>
        <v>0</v>
      </c>
      <c r="G8" s="95">
        <f>'DOE25'!J9</f>
        <v>0</v>
      </c>
      <c r="H8" s="124"/>
      <c r="I8" s="124"/>
    </row>
    <row r="9" spans="1:9" x14ac:dyDescent="0.2">
      <c r="A9" s="1" t="s">
        <v>140</v>
      </c>
      <c r="B9" s="6">
        <v>110</v>
      </c>
      <c r="C9" s="95">
        <f>'DOE25'!F10</f>
        <v>5119940.12</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186837.80000000002</v>
      </c>
      <c r="E11" s="95">
        <f>'DOE25'!H12</f>
        <v>0</v>
      </c>
      <c r="F11" s="95">
        <f>'DOE25'!I12</f>
        <v>0</v>
      </c>
      <c r="G11" s="95">
        <f>'DOE25'!J12</f>
        <v>0</v>
      </c>
      <c r="H11" s="124"/>
      <c r="I11" s="124"/>
    </row>
    <row r="12" spans="1:9" x14ac:dyDescent="0.2">
      <c r="A12" s="1" t="s">
        <v>143</v>
      </c>
      <c r="B12" s="6">
        <v>140</v>
      </c>
      <c r="C12" s="95">
        <f>'DOE25'!F13</f>
        <v>67665.86</v>
      </c>
      <c r="D12" s="95">
        <f>'DOE25'!G13</f>
        <v>48314.239999999998</v>
      </c>
      <c r="E12" s="95">
        <f>'DOE25'!H13</f>
        <v>278473.76</v>
      </c>
      <c r="F12" s="95">
        <f>'DOE25'!I13</f>
        <v>0</v>
      </c>
      <c r="G12" s="95">
        <f>'DOE25'!J13</f>
        <v>8626.65</v>
      </c>
      <c r="H12" s="124"/>
      <c r="I12" s="124"/>
    </row>
    <row r="13" spans="1:9" x14ac:dyDescent="0.2">
      <c r="A13" s="1" t="s">
        <v>144</v>
      </c>
      <c r="B13" s="6">
        <v>150</v>
      </c>
      <c r="C13" s="95">
        <f>'DOE25'!F14</f>
        <v>143329.11000000002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73142.87</v>
      </c>
      <c r="D15" s="95">
        <f>'DOE25'!G16</f>
        <v>0</v>
      </c>
      <c r="E15" s="95">
        <f>'DOE25'!H16</f>
        <v>0</v>
      </c>
      <c r="F15" s="95">
        <f>'DOE25'!I16</f>
        <v>0</v>
      </c>
      <c r="G15" s="24" t="s">
        <v>288</v>
      </c>
      <c r="H15" s="124"/>
      <c r="I15" s="124"/>
    </row>
    <row r="16" spans="1:9" x14ac:dyDescent="0.2">
      <c r="A16" s="1" t="s">
        <v>147</v>
      </c>
      <c r="B16" s="6">
        <v>180</v>
      </c>
      <c r="C16" s="95">
        <f>'DOE25'!F17</f>
        <v>29157.5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8597723.0800000001</v>
      </c>
      <c r="D18" s="41">
        <f>SUM(D8:D17)</f>
        <v>235262.04</v>
      </c>
      <c r="E18" s="41">
        <f>SUM(E8:E17)</f>
        <v>278473.76</v>
      </c>
      <c r="F18" s="41">
        <f>SUM(F8:F17)</f>
        <v>0</v>
      </c>
      <c r="G18" s="41">
        <f>SUM(G8:G17)</f>
        <v>8626.65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t="str">
        <f>'DOE25'!F22</f>
        <v xml:space="preserve"> </v>
      </c>
      <c r="D21" s="95">
        <f>'DOE25'!G22</f>
        <v>0</v>
      </c>
      <c r="E21" s="95">
        <f>'DOE25'!H22</f>
        <v>256041.82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442401.72</v>
      </c>
      <c r="D23" s="95">
        <f>'DOE25'!G24</f>
        <v>3092.41</v>
      </c>
      <c r="E23" s="95">
        <f>'DOE25'!H24</f>
        <v>7475.56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3433976.0000000005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106872.03</v>
      </c>
      <c r="D29" s="95">
        <f>'DOE25'!G30</f>
        <v>157260.20000000001</v>
      </c>
      <c r="E29" s="95">
        <f>'DOE25'!H30</f>
        <v>14956.38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3983249.7500000005</v>
      </c>
      <c r="D31" s="41">
        <f>SUM(D21:D30)</f>
        <v>160352.61000000002</v>
      </c>
      <c r="E31" s="41">
        <f>SUM(E21:E30)</f>
        <v>278473.76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73142.87</v>
      </c>
      <c r="D34" s="95">
        <f>'DOE25'!G35</f>
        <v>0</v>
      </c>
      <c r="E34" s="95">
        <f>'DOE25'!H35</f>
        <v>0</v>
      </c>
      <c r="F34" s="95">
        <f>'DOE25'!I35</f>
        <v>0</v>
      </c>
      <c r="G34" s="24" t="s">
        <v>288</v>
      </c>
      <c r="H34" s="124"/>
      <c r="I34" s="124"/>
    </row>
    <row r="35" spans="1:9" x14ac:dyDescent="0.2">
      <c r="A35" s="1" t="s">
        <v>850</v>
      </c>
      <c r="B35" s="6">
        <v>752</v>
      </c>
      <c r="C35" s="95">
        <f>'DOE25'!F36</f>
        <v>29157.5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8626.65</v>
      </c>
      <c r="H47" s="124"/>
      <c r="I47" s="124"/>
    </row>
    <row r="48" spans="1:9" x14ac:dyDescent="0.2">
      <c r="A48" s="1" t="s">
        <v>882</v>
      </c>
      <c r="B48" s="6">
        <v>753</v>
      </c>
      <c r="C48" s="95">
        <f>'DOE25'!F49</f>
        <v>671345.17</v>
      </c>
      <c r="D48" s="95">
        <f>'DOE25'!G49</f>
        <v>74909.429999999993</v>
      </c>
      <c r="E48" s="95">
        <f>'DOE25'!H49</f>
        <v>0</v>
      </c>
      <c r="F48" s="95">
        <f>'DOE25'!I49</f>
        <v>0</v>
      </c>
      <c r="G48" s="95">
        <f>'DOE25'!J49</f>
        <v>0</v>
      </c>
      <c r="H48" s="124"/>
      <c r="I48" s="124"/>
    </row>
    <row r="49" spans="1:9" ht="12" thickBot="1" x14ac:dyDescent="0.25">
      <c r="A49" s="29" t="s">
        <v>883</v>
      </c>
      <c r="B49" s="71">
        <v>770</v>
      </c>
      <c r="C49" s="95">
        <f>'DOE25'!F50</f>
        <v>3840827.79</v>
      </c>
      <c r="D49" s="24" t="s">
        <v>288</v>
      </c>
      <c r="E49" s="24" t="s">
        <v>288</v>
      </c>
      <c r="F49" s="24" t="s">
        <v>288</v>
      </c>
      <c r="G49" s="24" t="s">
        <v>288</v>
      </c>
      <c r="H49" s="124"/>
      <c r="I49" s="124"/>
    </row>
    <row r="50" spans="1:9" ht="12.75" thickTop="1" thickBot="1" x14ac:dyDescent="0.25">
      <c r="A50" s="38" t="s">
        <v>884</v>
      </c>
      <c r="B50" s="48"/>
      <c r="C50" s="41">
        <f>SUM(C34:C49)</f>
        <v>4614473.33</v>
      </c>
      <c r="D50" s="41">
        <f>SUM(D34:D49)</f>
        <v>74909.429999999993</v>
      </c>
      <c r="E50" s="41">
        <f>SUM(E34:E49)</f>
        <v>0</v>
      </c>
      <c r="F50" s="41">
        <f>SUM(F34:F49)</f>
        <v>0</v>
      </c>
      <c r="G50" s="41">
        <f>SUM(G34:G49)</f>
        <v>8626.65</v>
      </c>
      <c r="H50" s="124"/>
      <c r="I50" s="124"/>
    </row>
    <row r="51" spans="1:9" ht="12" thickTop="1" x14ac:dyDescent="0.2">
      <c r="A51" s="38" t="s">
        <v>885</v>
      </c>
      <c r="B51" s="2"/>
      <c r="C51" s="41">
        <f>C50+C31</f>
        <v>8597723.0800000001</v>
      </c>
      <c r="D51" s="41">
        <f>D50+D31</f>
        <v>235262.04</v>
      </c>
      <c r="E51" s="41">
        <f>E50+E31</f>
        <v>278473.76</v>
      </c>
      <c r="F51" s="41">
        <f>F50+F31</f>
        <v>0</v>
      </c>
      <c r="G51" s="41">
        <f>G50+G31</f>
        <v>8626.65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52001397</v>
      </c>
      <c r="D56" s="95">
        <f>'DOE25'!G60</f>
        <v>0</v>
      </c>
      <c r="E56" s="95">
        <f>'DOE25'!H60</f>
        <v>0</v>
      </c>
      <c r="F56" s="95">
        <f>'DOE25'!I60</f>
        <v>0</v>
      </c>
      <c r="G56" s="95">
        <f>'DOE25'!J60</f>
        <v>0</v>
      </c>
      <c r="H56"/>
      <c r="I56"/>
    </row>
    <row r="57" spans="1:9" x14ac:dyDescent="0.2">
      <c r="A57" s="1" t="s">
        <v>164</v>
      </c>
      <c r="B57" s="6" t="s">
        <v>165</v>
      </c>
      <c r="C57" s="95">
        <f>'DOE25'!F79</f>
        <v>941330.96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965.02</v>
      </c>
      <c r="D59" s="95">
        <f>'DOE25'!G96</f>
        <v>0</v>
      </c>
      <c r="E59" s="95">
        <f>'DOE25'!H96</f>
        <v>0</v>
      </c>
      <c r="F59" s="95">
        <f>'DOE25'!I96</f>
        <v>0</v>
      </c>
      <c r="G59" s="95">
        <f>'DOE25'!J96</f>
        <v>0</v>
      </c>
      <c r="H59"/>
      <c r="I59"/>
    </row>
    <row r="60" spans="1:9" x14ac:dyDescent="0.2">
      <c r="A60" s="1" t="s">
        <v>170</v>
      </c>
      <c r="B60" s="118" t="s">
        <v>171</v>
      </c>
      <c r="C60" s="24" t="s">
        <v>288</v>
      </c>
      <c r="D60" s="95">
        <f>'DOE25'!G97</f>
        <v>200109.38</v>
      </c>
      <c r="E60" s="24" t="s">
        <v>288</v>
      </c>
      <c r="F60" s="24" t="s">
        <v>288</v>
      </c>
      <c r="G60" s="24" t="s">
        <v>288</v>
      </c>
      <c r="H60"/>
      <c r="I60"/>
    </row>
    <row r="61" spans="1:9" ht="12" thickBot="1" x14ac:dyDescent="0.25">
      <c r="A61" s="1" t="s">
        <v>172</v>
      </c>
      <c r="B61" s="118" t="s">
        <v>173</v>
      </c>
      <c r="C61" s="95">
        <f>SUM('DOE25'!F98:F110)</f>
        <v>272010.23999999999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1214306.22</v>
      </c>
      <c r="D62" s="130">
        <f>SUM(D57:D61)</f>
        <v>200109.38</v>
      </c>
      <c r="E62" s="130">
        <f>SUM(E57:E61)</f>
        <v>0</v>
      </c>
      <c r="F62" s="130">
        <f>SUM(F57:F61)</f>
        <v>0</v>
      </c>
      <c r="G62" s="130">
        <f>SUM(G57:G61)</f>
        <v>0</v>
      </c>
      <c r="H62"/>
      <c r="I62"/>
    </row>
    <row r="63" spans="1:9" ht="12" thickTop="1" x14ac:dyDescent="0.2">
      <c r="A63" s="29" t="s">
        <v>175</v>
      </c>
      <c r="B63" s="6"/>
      <c r="C63" s="22">
        <f>C56+C62</f>
        <v>53215703.219999999</v>
      </c>
      <c r="D63" s="22">
        <f>D56+D62</f>
        <v>200109.38</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9576558.5999999996</v>
      </c>
      <c r="D66" s="24" t="s">
        <v>288</v>
      </c>
      <c r="E66" s="24" t="s">
        <v>288</v>
      </c>
      <c r="F66" s="24" t="s">
        <v>288</v>
      </c>
      <c r="G66" s="24" t="s">
        <v>288</v>
      </c>
      <c r="H66"/>
      <c r="I66"/>
    </row>
    <row r="67" spans="1:9" x14ac:dyDescent="0.2">
      <c r="A67" s="1" t="s">
        <v>770</v>
      </c>
      <c r="B67" s="6">
        <v>3112</v>
      </c>
      <c r="C67" s="95">
        <f>'DOE25'!F118</f>
        <v>8064566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2976.0599999999995</v>
      </c>
      <c r="D69" s="95">
        <f>'DOE25'!G120</f>
        <v>0</v>
      </c>
      <c r="E69" s="95">
        <f>'DOE25'!H120</f>
        <v>0</v>
      </c>
      <c r="F69" s="95">
        <f>'DOE25'!I120</f>
        <v>0</v>
      </c>
      <c r="G69" s="95">
        <f>'DOE25'!J120</f>
        <v>0</v>
      </c>
      <c r="H69"/>
      <c r="I69"/>
    </row>
    <row r="70" spans="1:9" ht="12" thickTop="1" x14ac:dyDescent="0.2">
      <c r="A70" s="29" t="s">
        <v>252</v>
      </c>
      <c r="B70" s="2"/>
      <c r="C70" s="139">
        <f>SUM(C66:C69)</f>
        <v>17644100.66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497717.3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932772.65</v>
      </c>
      <c r="D75" s="24" t="s">
        <v>288</v>
      </c>
      <c r="E75" s="24" t="s">
        <v>288</v>
      </c>
      <c r="F75" s="24" t="s">
        <v>288</v>
      </c>
      <c r="G75" s="24" t="s">
        <v>288</v>
      </c>
      <c r="H75"/>
      <c r="I75"/>
    </row>
    <row r="76" spans="1:9" x14ac:dyDescent="0.2">
      <c r="A76" s="1" t="s">
        <v>257</v>
      </c>
      <c r="B76" s="6" t="s">
        <v>179</v>
      </c>
      <c r="C76" s="95">
        <f>SUM('DOE25'!F127:F130)</f>
        <v>6518.76</v>
      </c>
      <c r="D76" s="24" t="s">
        <v>288</v>
      </c>
      <c r="E76" s="95">
        <f>SUM('DOE25'!H127:H130)</f>
        <v>0</v>
      </c>
      <c r="F76" s="95">
        <f>SUM('DOE25'!I127:I130)</f>
        <v>0</v>
      </c>
      <c r="G76" s="24" t="s">
        <v>288</v>
      </c>
      <c r="H76"/>
      <c r="I76"/>
    </row>
    <row r="77" spans="1:9" ht="12" thickBot="1" x14ac:dyDescent="0.25">
      <c r="A77" s="1" t="s">
        <v>258</v>
      </c>
      <c r="B77" s="6" t="s">
        <v>180</v>
      </c>
      <c r="C77" s="95">
        <f>SUM('DOE25'!F131:F135)</f>
        <v>13912.07</v>
      </c>
      <c r="D77" s="95">
        <f>SUM('DOE25'!G131:G135)</f>
        <v>21610.07</v>
      </c>
      <c r="E77" s="95">
        <f>SUM('DOE25'!H131:H135)</f>
        <v>17665</v>
      </c>
      <c r="F77" s="95">
        <f>SUM('DOE25'!I131:I135)</f>
        <v>0</v>
      </c>
      <c r="G77" s="95">
        <f>SUM('DOE25'!J131:J135)</f>
        <v>0</v>
      </c>
      <c r="H77"/>
      <c r="I77"/>
    </row>
    <row r="78" spans="1:9" ht="12.75" thickTop="1" thickBot="1" x14ac:dyDescent="0.25">
      <c r="A78" s="29" t="s">
        <v>259</v>
      </c>
      <c r="B78" s="6"/>
      <c r="C78" s="130">
        <f>SUM(C72:C77)</f>
        <v>1450920.78</v>
      </c>
      <c r="D78" s="130">
        <f>SUM(D72:D77)</f>
        <v>21610.07</v>
      </c>
      <c r="E78" s="130">
        <f>SUM(E72:E77)</f>
        <v>17665</v>
      </c>
      <c r="F78" s="130">
        <f>SUM(F72:F77)</f>
        <v>0</v>
      </c>
      <c r="G78" s="130">
        <f>SUM(G72:G77)</f>
        <v>0</v>
      </c>
      <c r="H78"/>
      <c r="I78"/>
    </row>
    <row r="79" spans="1:9" ht="12" thickTop="1" x14ac:dyDescent="0.2">
      <c r="A79" s="1" t="s">
        <v>260</v>
      </c>
      <c r="B79" s="6">
        <v>3700</v>
      </c>
      <c r="C79" s="95">
        <f>'DOE25'!F137</f>
        <v>12747.5</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19107768.940000001</v>
      </c>
      <c r="D81" s="130">
        <f>SUM(D79:D80)+D78+D70</f>
        <v>21610.07</v>
      </c>
      <c r="E81" s="130">
        <f>SUM(E79:E80)+E78+E70</f>
        <v>17665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350666.78</v>
      </c>
      <c r="D88" s="331">
        <f>SUM('DOE25'!G153:G162)</f>
        <v>657190.2300000001</v>
      </c>
      <c r="E88" s="331">
        <f>SUM('DOE25'!H153:H162)</f>
        <v>1969771.68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350666.78</v>
      </c>
      <c r="D91" s="131">
        <f>SUM(D85:D90)</f>
        <v>657190.2300000001</v>
      </c>
      <c r="E91" s="131">
        <f>SUM(E85:E90)</f>
        <v>1969771.68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27388.62</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27388.62</v>
      </c>
      <c r="E103" s="86">
        <f>SUM(E93:E102)</f>
        <v>0</v>
      </c>
      <c r="F103" s="86">
        <f>SUM(F93:F102)</f>
        <v>0</v>
      </c>
      <c r="G103" s="86">
        <f>SUM(G93:G102)</f>
        <v>0</v>
      </c>
    </row>
    <row r="104" spans="1:7" ht="12.75" thickTop="1" thickBot="1" x14ac:dyDescent="0.25">
      <c r="A104" s="33" t="s">
        <v>761</v>
      </c>
      <c r="C104" s="86">
        <f>C63+C81+C91+C103</f>
        <v>72674138.939999998</v>
      </c>
      <c r="D104" s="86">
        <f>D63+D81+D91+D103</f>
        <v>906298.30000000016</v>
      </c>
      <c r="E104" s="86">
        <f>E63+E81+E91+E103</f>
        <v>1987436.68</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31504406.100000001</v>
      </c>
      <c r="D109" s="24" t="s">
        <v>288</v>
      </c>
      <c r="E109" s="95">
        <f>('DOE25'!L277)+('DOE25'!L296)+('DOE25'!L315)</f>
        <v>196732.13999999998</v>
      </c>
      <c r="F109" s="24" t="s">
        <v>288</v>
      </c>
      <c r="G109" s="24" t="s">
        <v>288</v>
      </c>
    </row>
    <row r="110" spans="1:7" x14ac:dyDescent="0.2">
      <c r="A110" t="s">
        <v>198</v>
      </c>
      <c r="B110" s="32" t="s">
        <v>199</v>
      </c>
      <c r="C110" s="95">
        <f>('DOE25'!L199)+('DOE25'!L217)+('DOE25'!L235)</f>
        <v>13300670.139999999</v>
      </c>
      <c r="D110" s="24" t="s">
        <v>288</v>
      </c>
      <c r="E110" s="95">
        <f>('DOE25'!L278)+('DOE25'!L297)+('DOE25'!L316)</f>
        <v>645662.00999999989</v>
      </c>
      <c r="F110" s="24" t="s">
        <v>288</v>
      </c>
      <c r="G110" s="24" t="s">
        <v>288</v>
      </c>
    </row>
    <row r="111" spans="1:7" x14ac:dyDescent="0.2">
      <c r="A111" t="s">
        <v>200</v>
      </c>
      <c r="B111" s="32" t="s">
        <v>165</v>
      </c>
      <c r="C111" s="95">
        <f>('DOE25'!L200)+('DOE25'!L218)+('DOE25'!L236)</f>
        <v>84781.32</v>
      </c>
      <c r="D111" s="24" t="s">
        <v>288</v>
      </c>
      <c r="E111" s="95">
        <f>('DOE25'!L279)+('DOE25'!L298)+('DOE25'!L317)</f>
        <v>0</v>
      </c>
      <c r="F111" s="24" t="s">
        <v>288</v>
      </c>
      <c r="G111" s="24" t="s">
        <v>288</v>
      </c>
    </row>
    <row r="112" spans="1:7" x14ac:dyDescent="0.2">
      <c r="A112" t="s">
        <v>201</v>
      </c>
      <c r="B112" s="32" t="s">
        <v>167</v>
      </c>
      <c r="C112" s="95">
        <f>('DOE25'!L201)+('DOE25'!L219)+('DOE25'!L237)</f>
        <v>1288079.3700000001</v>
      </c>
      <c r="D112" s="24" t="s">
        <v>288</v>
      </c>
      <c r="E112" s="95">
        <f>+('DOE25'!L280)+('DOE25'!L299)+('DOE25'!L318)</f>
        <v>14368.47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1393.16</v>
      </c>
      <c r="D114" s="24" t="s">
        <v>288</v>
      </c>
      <c r="E114" s="95">
        <f>+ SUM('DOE25'!L334:L336)</f>
        <v>17665</v>
      </c>
      <c r="F114" s="24" t="s">
        <v>288</v>
      </c>
      <c r="G114" s="24" t="s">
        <v>288</v>
      </c>
    </row>
    <row r="115" spans="1:7" ht="12.75" thickTop="1" thickBot="1" x14ac:dyDescent="0.25">
      <c r="A115" s="33" t="s">
        <v>205</v>
      </c>
      <c r="C115" s="86">
        <f>SUM(C109:C114)</f>
        <v>46179330.089999996</v>
      </c>
      <c r="D115" s="86">
        <f>SUM(D109:D114)</f>
        <v>0</v>
      </c>
      <c r="E115" s="86">
        <f>SUM(E109:E114)</f>
        <v>874427.61999999988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4918031.8299999991</v>
      </c>
      <c r="D118" s="24" t="s">
        <v>288</v>
      </c>
      <c r="E118" s="95">
        <f>+('DOE25'!L282)+('DOE25'!L301)+('DOE25'!L320)</f>
        <v>323251.40999999997</v>
      </c>
      <c r="F118" s="24" t="s">
        <v>288</v>
      </c>
      <c r="G118" s="24" t="s">
        <v>288</v>
      </c>
    </row>
    <row r="119" spans="1:7" x14ac:dyDescent="0.2">
      <c r="A119" t="s">
        <v>208</v>
      </c>
      <c r="B119" s="32" t="s">
        <v>209</v>
      </c>
      <c r="C119" s="95">
        <f>('DOE25'!L204)+('DOE25'!L222)+('DOE25'!L240)</f>
        <v>1450160.13</v>
      </c>
      <c r="D119" s="24" t="s">
        <v>288</v>
      </c>
      <c r="E119" s="95">
        <f>+('DOE25'!L283)+('DOE25'!L302)+('DOE25'!L321)</f>
        <v>406214.44000000006</v>
      </c>
      <c r="F119" s="24" t="s">
        <v>288</v>
      </c>
      <c r="G119" s="24" t="s">
        <v>288</v>
      </c>
    </row>
    <row r="120" spans="1:7" x14ac:dyDescent="0.2">
      <c r="A120" t="s">
        <v>210</v>
      </c>
      <c r="B120" s="32" t="s">
        <v>211</v>
      </c>
      <c r="C120" s="95">
        <f>('DOE25'!L205)+('DOE25'!L223)+('DOE25'!L241)</f>
        <v>1529500.33</v>
      </c>
      <c r="D120" s="24" t="s">
        <v>288</v>
      </c>
      <c r="E120" s="95">
        <f>+('DOE25'!L284)+('DOE25'!L303)+('DOE25'!L322)</f>
        <v>7277.2199999999993</v>
      </c>
      <c r="F120" s="24" t="s">
        <v>288</v>
      </c>
      <c r="G120" s="24" t="s">
        <v>288</v>
      </c>
    </row>
    <row r="121" spans="1:7" x14ac:dyDescent="0.2">
      <c r="A121" t="s">
        <v>212</v>
      </c>
      <c r="B121" s="32" t="s">
        <v>213</v>
      </c>
      <c r="C121" s="95">
        <f>('DOE25'!L206)+('DOE25'!L224)+('DOE25'!L242)</f>
        <v>4931017.7200000007</v>
      </c>
      <c r="D121" s="24" t="s">
        <v>288</v>
      </c>
      <c r="E121" s="95">
        <f>+('DOE25'!L285)+('DOE25'!L304)+('DOE25'!L323)</f>
        <v>15135.75</v>
      </c>
      <c r="F121" s="24" t="s">
        <v>288</v>
      </c>
      <c r="G121" s="24" t="s">
        <v>288</v>
      </c>
    </row>
    <row r="122" spans="1:7" x14ac:dyDescent="0.2">
      <c r="A122" t="s">
        <v>214</v>
      </c>
      <c r="B122" s="32" t="s">
        <v>215</v>
      </c>
      <c r="C122" s="95">
        <f>('DOE25'!L207)+('DOE25'!L225)+('DOE25'!L243)</f>
        <v>749805.39</v>
      </c>
      <c r="D122" s="24" t="s">
        <v>288</v>
      </c>
      <c r="E122" s="95">
        <f>+('DOE25'!L286)+('DOE25'!L305)+('DOE25'!L324)</f>
        <v>27326.18</v>
      </c>
      <c r="F122" s="24" t="s">
        <v>288</v>
      </c>
      <c r="G122" s="24" t="s">
        <v>288</v>
      </c>
    </row>
    <row r="123" spans="1:7" x14ac:dyDescent="0.2">
      <c r="A123" t="s">
        <v>216</v>
      </c>
      <c r="B123" s="32" t="s">
        <v>217</v>
      </c>
      <c r="C123" s="95">
        <f>('DOE25'!L208)+('DOE25'!L226)+('DOE25'!L244)</f>
        <v>4997166.4800000004</v>
      </c>
      <c r="D123" s="24" t="s">
        <v>288</v>
      </c>
      <c r="E123" s="95">
        <f>+('DOE25'!L287)+('DOE25'!L306)+('DOE25'!L325)</f>
        <v>234208.14</v>
      </c>
      <c r="F123" s="24" t="s">
        <v>288</v>
      </c>
      <c r="G123" s="24" t="s">
        <v>288</v>
      </c>
    </row>
    <row r="124" spans="1:7" x14ac:dyDescent="0.2">
      <c r="A124" t="s">
        <v>218</v>
      </c>
      <c r="B124" s="32" t="s">
        <v>219</v>
      </c>
      <c r="C124" s="95">
        <f>('DOE25'!L209)+('DOE25'!L227)+('DOE25'!L245+'DOE25'!L255)</f>
        <v>3476579.42</v>
      </c>
      <c r="D124" s="24" t="s">
        <v>288</v>
      </c>
      <c r="E124" s="95">
        <f>+('DOE25'!L288)+('DOE25'!L307)+('DOE25'!L326)</f>
        <v>98320</v>
      </c>
      <c r="F124" s="24" t="s">
        <v>288</v>
      </c>
      <c r="G124" s="24" t="s">
        <v>288</v>
      </c>
    </row>
    <row r="125" spans="1:7" x14ac:dyDescent="0.2">
      <c r="A125" t="s">
        <v>220</v>
      </c>
      <c r="B125" s="32" t="s">
        <v>221</v>
      </c>
      <c r="C125" s="95">
        <f>('DOE25'!L210)+('DOE25'!L228)+('DOE25'!L246)</f>
        <v>44335.55</v>
      </c>
      <c r="D125" s="24" t="s">
        <v>288</v>
      </c>
      <c r="E125" s="95">
        <f>+('DOE25'!L289)+('DOE25'!L308)+('DOE25'!L327)</f>
        <v>1275.92</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992117.84</v>
      </c>
      <c r="E127" s="24" t="s">
        <v>288</v>
      </c>
      <c r="F127" s="24" t="s">
        <v>288</v>
      </c>
      <c r="G127" s="24" t="s">
        <v>288</v>
      </c>
    </row>
    <row r="128" spans="1:7" ht="12.75" thickTop="1" thickBot="1" x14ac:dyDescent="0.25">
      <c r="A128" s="33" t="s">
        <v>226</v>
      </c>
      <c r="C128" s="86">
        <f>SUM(C118:C127)</f>
        <v>22096596.850000005</v>
      </c>
      <c r="D128" s="86">
        <f>SUM(D118:D127)</f>
        <v>992117.84</v>
      </c>
      <c r="E128" s="86">
        <f>SUM(E118:E127)</f>
        <v>1113009.06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793052</v>
      </c>
      <c r="D130" s="24" t="s">
        <v>288</v>
      </c>
      <c r="E130" s="129">
        <f>'DOE25'!L337</f>
        <v>0</v>
      </c>
      <c r="F130" s="129">
        <f>SUM('DOE25'!L375:'DOE25'!L381)</f>
        <v>0</v>
      </c>
      <c r="G130" s="24" t="s">
        <v>288</v>
      </c>
    </row>
    <row r="131" spans="1:7" x14ac:dyDescent="0.2">
      <c r="A131" t="s">
        <v>229</v>
      </c>
      <c r="B131" s="32">
        <v>5110</v>
      </c>
      <c r="C131" s="95">
        <f>'DOE25'!L261</f>
        <v>1845000</v>
      </c>
      <c r="D131" s="24" t="s">
        <v>288</v>
      </c>
      <c r="E131" s="129">
        <f>'DOE25'!L342</f>
        <v>0</v>
      </c>
      <c r="F131" s="24" t="s">
        <v>288</v>
      </c>
      <c r="G131" s="24" t="s">
        <v>288</v>
      </c>
    </row>
    <row r="132" spans="1:7" x14ac:dyDescent="0.2">
      <c r="A132" t="s">
        <v>230</v>
      </c>
      <c r="B132" s="32">
        <v>5120</v>
      </c>
      <c r="C132" s="95">
        <f>'DOE25'!L262</f>
        <v>1066490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53584.33</v>
      </c>
      <c r="E134" s="95">
        <f>'DOE25'!L345</f>
        <v>0</v>
      </c>
      <c r="F134" s="95">
        <f>'DOE25'!K382</f>
        <v>0</v>
      </c>
      <c r="G134" s="95">
        <f>'DOE25'!K435</f>
        <v>0</v>
      </c>
    </row>
    <row r="135" spans="1:7" x14ac:dyDescent="0.2">
      <c r="A135" t="s">
        <v>233</v>
      </c>
      <c r="B135" s="32" t="s">
        <v>234</v>
      </c>
      <c r="C135" s="95">
        <f>'DOE25'!L264</f>
        <v>27388.62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39804.25</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3771734.87</v>
      </c>
      <c r="D144" s="141">
        <f>SUM(D130:D143)</f>
        <v>53584.33</v>
      </c>
      <c r="E144" s="141">
        <f>SUM(E130:E143)</f>
        <v>0</v>
      </c>
      <c r="F144" s="141">
        <f>SUM(F130:F143)</f>
        <v>0</v>
      </c>
      <c r="G144" s="141">
        <f>SUM(G130:G143)</f>
        <v>0</v>
      </c>
    </row>
    <row r="145" spans="1:9" ht="12.75" thickTop="1" thickBot="1" x14ac:dyDescent="0.25">
      <c r="A145" s="33" t="s">
        <v>244</v>
      </c>
      <c r="C145" s="86">
        <f>(C115+C128+C144)</f>
        <v>72047661.810000002</v>
      </c>
      <c r="D145" s="86">
        <f>(D115+D128+D144)</f>
        <v>1045702.1699999999</v>
      </c>
      <c r="E145" s="86">
        <f>(E115+E128+E144)</f>
        <v>1987436.68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15</v>
      </c>
      <c r="D151" s="153">
        <f>'DOE25'!H491</f>
        <v>0</v>
      </c>
      <c r="E151" s="153">
        <f>'DOE25'!I491</f>
        <v>0</v>
      </c>
      <c r="F151" s="153">
        <f>'DOE25'!J491</f>
        <v>0</v>
      </c>
      <c r="G151" s="24" t="s">
        <v>288</v>
      </c>
    </row>
    <row r="152" spans="1:9" x14ac:dyDescent="0.2">
      <c r="A152" s="136" t="s">
        <v>28</v>
      </c>
      <c r="B152" s="152" t="str">
        <f>'DOE25'!F492</f>
        <v>6/06</v>
      </c>
      <c r="C152" s="152" t="str">
        <f>'DOE25'!G492</f>
        <v>11/14</v>
      </c>
      <c r="D152" s="152">
        <f>'DOE25'!H492</f>
        <v>0</v>
      </c>
      <c r="E152" s="152">
        <f>'DOE25'!I492</f>
        <v>0</v>
      </c>
      <c r="F152" s="152">
        <f>'DOE25'!J492</f>
        <v>0</v>
      </c>
      <c r="G152" s="24" t="s">
        <v>288</v>
      </c>
    </row>
    <row r="153" spans="1:9" x14ac:dyDescent="0.2">
      <c r="A153" s="136" t="s">
        <v>29</v>
      </c>
      <c r="B153" s="152" t="str">
        <f>'DOE25'!F493</f>
        <v>07/26</v>
      </c>
      <c r="C153" s="152" t="str">
        <f>'DOE25'!G493</f>
        <v>07/29</v>
      </c>
      <c r="D153" s="152">
        <f>'DOE25'!H493</f>
        <v>0</v>
      </c>
      <c r="E153" s="152">
        <f>'DOE25'!I493</f>
        <v>0</v>
      </c>
      <c r="F153" s="152">
        <f>'DOE25'!J493</f>
        <v>0</v>
      </c>
      <c r="G153" s="24" t="s">
        <v>288</v>
      </c>
    </row>
    <row r="154" spans="1:9" x14ac:dyDescent="0.2">
      <c r="A154" s="136" t="s">
        <v>30</v>
      </c>
      <c r="B154" s="137">
        <f>'DOE25'!F494</f>
        <v>800000</v>
      </c>
      <c r="C154" s="137">
        <f>'DOE25'!G494</f>
        <v>32715000</v>
      </c>
      <c r="D154" s="137">
        <f>'DOE25'!H494</f>
        <v>0</v>
      </c>
      <c r="E154" s="137">
        <f>'DOE25'!I494</f>
        <v>0</v>
      </c>
      <c r="F154" s="137">
        <f>'DOE25'!J494</f>
        <v>0</v>
      </c>
      <c r="G154" s="24" t="s">
        <v>288</v>
      </c>
    </row>
    <row r="155" spans="1:9" x14ac:dyDescent="0.2">
      <c r="A155" s="136" t="s">
        <v>31</v>
      </c>
      <c r="B155" s="137">
        <f>'DOE25'!F495</f>
        <v>4.5199999999999996</v>
      </c>
      <c r="C155" s="137">
        <f>'DOE25'!G495</f>
        <v>2.63</v>
      </c>
      <c r="D155" s="137">
        <f>'DOE25'!H495</f>
        <v>0</v>
      </c>
      <c r="E155" s="137">
        <f>'DOE25'!I495</f>
        <v>0</v>
      </c>
      <c r="F155" s="137">
        <f>'DOE25'!J495</f>
        <v>0</v>
      </c>
      <c r="G155" s="24" t="s">
        <v>288</v>
      </c>
    </row>
    <row r="156" spans="1:9" x14ac:dyDescent="0.2">
      <c r="A156" s="22" t="s">
        <v>32</v>
      </c>
      <c r="B156" s="137">
        <f>'DOE25'!F496</f>
        <v>280000</v>
      </c>
      <c r="C156" s="137">
        <f>'DOE25'!G496</f>
        <v>22735000</v>
      </c>
      <c r="D156" s="137">
        <f>'DOE25'!H496</f>
        <v>0</v>
      </c>
      <c r="E156" s="137">
        <f>'DOE25'!I496</f>
        <v>0</v>
      </c>
      <c r="F156" s="137">
        <f>'DOE25'!J496</f>
        <v>0</v>
      </c>
      <c r="G156" s="138">
        <f>SUM(B156:F156)</f>
        <v>23015000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40000</v>
      </c>
      <c r="C158" s="137">
        <f>'DOE25'!G498</f>
        <v>1805000</v>
      </c>
      <c r="D158" s="137">
        <f>'DOE25'!H498</f>
        <v>0</v>
      </c>
      <c r="E158" s="137">
        <f>'DOE25'!I498</f>
        <v>0</v>
      </c>
      <c r="F158" s="137">
        <f>'DOE25'!J498</f>
        <v>0</v>
      </c>
      <c r="G158" s="138">
        <f t="shared" si="0"/>
        <v>1845000</v>
      </c>
    </row>
    <row r="159" spans="1:9" x14ac:dyDescent="0.2">
      <c r="A159" s="22" t="s">
        <v>35</v>
      </c>
      <c r="B159" s="137">
        <f>'DOE25'!F499</f>
        <v>240000</v>
      </c>
      <c r="C159" s="137">
        <f>'DOE25'!G499</f>
        <v>20930000</v>
      </c>
      <c r="D159" s="137">
        <f>'DOE25'!H499</f>
        <v>0</v>
      </c>
      <c r="E159" s="137">
        <f>'DOE25'!I499</f>
        <v>0</v>
      </c>
      <c r="F159" s="137">
        <f>'DOE25'!J499</f>
        <v>0</v>
      </c>
      <c r="G159" s="138">
        <f t="shared" si="0"/>
        <v>21170000</v>
      </c>
    </row>
    <row r="160" spans="1:9" x14ac:dyDescent="0.2">
      <c r="A160" s="22" t="s">
        <v>36</v>
      </c>
      <c r="B160" s="137">
        <f>'DOE25'!F500</f>
        <v>33175</v>
      </c>
      <c r="C160" s="137">
        <f>'DOE25'!G500</f>
        <v>4815750</v>
      </c>
      <c r="D160" s="137">
        <f>'DOE25'!H500</f>
        <v>0</v>
      </c>
      <c r="E160" s="137">
        <f>'DOE25'!I500</f>
        <v>0</v>
      </c>
      <c r="F160" s="137">
        <f>'DOE25'!J500</f>
        <v>0</v>
      </c>
      <c r="G160" s="138">
        <f t="shared" si="0"/>
        <v>4848925</v>
      </c>
    </row>
    <row r="161" spans="1:7" x14ac:dyDescent="0.2">
      <c r="A161" s="22" t="s">
        <v>37</v>
      </c>
      <c r="B161" s="137">
        <f>'DOE25'!F501</f>
        <v>273175</v>
      </c>
      <c r="C161" s="137">
        <f>'DOE25'!G501</f>
        <v>25745750</v>
      </c>
      <c r="D161" s="137">
        <f>'DOE25'!H501</f>
        <v>0</v>
      </c>
      <c r="E161" s="137">
        <f>'DOE25'!I501</f>
        <v>0</v>
      </c>
      <c r="F161" s="137">
        <f>'DOE25'!J501</f>
        <v>0</v>
      </c>
      <c r="G161" s="138">
        <f t="shared" si="0"/>
        <v>26018925</v>
      </c>
    </row>
    <row r="162" spans="1:7" x14ac:dyDescent="0.2">
      <c r="A162" s="22" t="s">
        <v>38</v>
      </c>
      <c r="B162" s="137">
        <f>'DOE25'!F502</f>
        <v>40000</v>
      </c>
      <c r="C162" s="137">
        <f>'DOE25'!G502</f>
        <v>1890000</v>
      </c>
      <c r="D162" s="137">
        <f>'DOE25'!H502</f>
        <v>0</v>
      </c>
      <c r="E162" s="137">
        <f>'DOE25'!I502</f>
        <v>0</v>
      </c>
      <c r="F162" s="137">
        <f>'DOE25'!J502</f>
        <v>0</v>
      </c>
      <c r="G162" s="138">
        <f t="shared" si="0"/>
        <v>1930000</v>
      </c>
    </row>
    <row r="163" spans="1:7" x14ac:dyDescent="0.2">
      <c r="A163" s="22" t="s">
        <v>39</v>
      </c>
      <c r="B163" s="137">
        <f>'DOE25'!F503</f>
        <v>10090</v>
      </c>
      <c r="C163" s="137">
        <f>'DOE25'!G503</f>
        <v>971250</v>
      </c>
      <c r="D163" s="137">
        <f>'DOE25'!H503</f>
        <v>0</v>
      </c>
      <c r="E163" s="137">
        <f>'DOE25'!I503</f>
        <v>0</v>
      </c>
      <c r="F163" s="137">
        <f>'DOE25'!J503</f>
        <v>0</v>
      </c>
      <c r="G163" s="138">
        <f t="shared" si="0"/>
        <v>981340</v>
      </c>
    </row>
    <row r="164" spans="1:7" x14ac:dyDescent="0.2">
      <c r="A164" s="22" t="s">
        <v>246</v>
      </c>
      <c r="B164" s="137">
        <f>'DOE25'!F504</f>
        <v>50090</v>
      </c>
      <c r="C164" s="137">
        <f>'DOE25'!G504</f>
        <v>2861250</v>
      </c>
      <c r="D164" s="137">
        <f>'DOE25'!H504</f>
        <v>0</v>
      </c>
      <c r="E164" s="137">
        <f>'DOE25'!I504</f>
        <v>0</v>
      </c>
      <c r="F164" s="137">
        <f>'DOE25'!J504</f>
        <v>0</v>
      </c>
      <c r="G164" s="138">
        <f t="shared" si="0"/>
        <v>2911340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Bedford</v>
      </c>
    </row>
    <row r="3" spans="1:4" x14ac:dyDescent="0.2">
      <c r="B3" s="188" t="s">
        <v>1666</v>
      </c>
    </row>
    <row r="4" spans="1:4" x14ac:dyDescent="0.2">
      <c r="B4" t="s">
        <v>61</v>
      </c>
      <c r="C4" s="179">
        <f>IF('DOE25'!F666+'DOE25'!F671=0,0,ROUND('DOE25'!F673,0))</f>
        <v>15841</v>
      </c>
    </row>
    <row r="5" spans="1:4" x14ac:dyDescent="0.2">
      <c r="B5" t="s">
        <v>700</v>
      </c>
      <c r="C5" s="179">
        <f>IF('DOE25'!G666+'DOE25'!G671=0,0,ROUND('DOE25'!G673,0))</f>
        <v>15515</v>
      </c>
    </row>
    <row r="6" spans="1:4" x14ac:dyDescent="0.2">
      <c r="B6" t="s">
        <v>62</v>
      </c>
      <c r="C6" s="179">
        <f>IF('DOE25'!H666+'DOE25'!H671=0,0,ROUND('DOE25'!H673,0))</f>
        <v>15236</v>
      </c>
    </row>
    <row r="7" spans="1:4" x14ac:dyDescent="0.2">
      <c r="B7" t="s">
        <v>701</v>
      </c>
      <c r="C7" s="179">
        <f>IF('DOE25'!I666+'DOE25'!I671=0,0,ROUND('DOE25'!I673,0))</f>
        <v>15573</v>
      </c>
    </row>
    <row r="9" spans="1:4" x14ac:dyDescent="0.2">
      <c r="A9" s="187" t="s">
        <v>94</v>
      </c>
      <c r="B9" s="188" t="s">
        <v>1671</v>
      </c>
      <c r="C9" s="181" t="s">
        <v>720</v>
      </c>
      <c r="D9" s="181" t="s">
        <v>721</v>
      </c>
    </row>
    <row r="10" spans="1:4" x14ac:dyDescent="0.2">
      <c r="A10">
        <v>1100</v>
      </c>
      <c r="B10" t="s">
        <v>702</v>
      </c>
      <c r="C10" s="179">
        <f>ROUND('DOE25'!L198+'DOE25'!L216+'DOE25'!L234+'DOE25'!L277+'DOE25'!L296+'DOE25'!L315,0)</f>
        <v>31701138</v>
      </c>
      <c r="D10" s="182">
        <f>ROUND((C10/$C$28)*100,1)</f>
        <v>43.9</v>
      </c>
    </row>
    <row r="11" spans="1:4" x14ac:dyDescent="0.2">
      <c r="A11">
        <v>1200</v>
      </c>
      <c r="B11" t="s">
        <v>703</v>
      </c>
      <c r="C11" s="179">
        <f>ROUND('DOE25'!L199+'DOE25'!L217+'DOE25'!L235+'DOE25'!L278+'DOE25'!L297+'DOE25'!L316,0)</f>
        <v>13946332</v>
      </c>
      <c r="D11" s="182">
        <f>ROUND((C11/$C$28)*100,1)</f>
        <v>19.3</v>
      </c>
    </row>
    <row r="12" spans="1:4" x14ac:dyDescent="0.2">
      <c r="A12">
        <v>1300</v>
      </c>
      <c r="B12" t="s">
        <v>704</v>
      </c>
      <c r="C12" s="179">
        <f>ROUND('DOE25'!L200+'DOE25'!L218+'DOE25'!L236+'DOE25'!L279+'DOE25'!L298+'DOE25'!L317,0)</f>
        <v>84781</v>
      </c>
      <c r="D12" s="182">
        <f>ROUND((C12/$C$28)*100,1)</f>
        <v>0.1</v>
      </c>
    </row>
    <row r="13" spans="1:4" x14ac:dyDescent="0.2">
      <c r="A13">
        <v>1400</v>
      </c>
      <c r="B13" t="s">
        <v>705</v>
      </c>
      <c r="C13" s="179">
        <f>ROUND('DOE25'!L201+'DOE25'!L219+'DOE25'!L237+'DOE25'!L280+'DOE25'!L299+'DOE25'!L318,0)</f>
        <v>1302448</v>
      </c>
      <c r="D13" s="182">
        <f>ROUND((C13/$C$28)*100,1)</f>
        <v>1.8</v>
      </c>
    </row>
    <row r="14" spans="1:4" x14ac:dyDescent="0.2">
      <c r="D14" s="182"/>
    </row>
    <row r="15" spans="1:4" x14ac:dyDescent="0.2">
      <c r="A15">
        <v>2100</v>
      </c>
      <c r="B15" t="s">
        <v>706</v>
      </c>
      <c r="C15" s="179">
        <f>ROUND('DOE25'!L203+'DOE25'!L221+'DOE25'!L239+'DOE25'!L282+'DOE25'!L301+'DOE25'!L320,0)</f>
        <v>5241283</v>
      </c>
      <c r="D15" s="182">
        <f t="shared" ref="D15:D27" si="0">ROUND((C15/$C$28)*100,1)</f>
        <v>7.3</v>
      </c>
    </row>
    <row r="16" spans="1:4" x14ac:dyDescent="0.2">
      <c r="A16">
        <v>2200</v>
      </c>
      <c r="B16" t="s">
        <v>707</v>
      </c>
      <c r="C16" s="179">
        <f>ROUND('DOE25'!L204+'DOE25'!L222+'DOE25'!L240+'DOE25'!L283+'DOE25'!L302+'DOE25'!L321,0)</f>
        <v>1856375</v>
      </c>
      <c r="D16" s="182">
        <f t="shared" si="0"/>
        <v>2.6</v>
      </c>
    </row>
    <row r="17" spans="1:4" x14ac:dyDescent="0.2">
      <c r="A17" s="183" t="s">
        <v>723</v>
      </c>
      <c r="B17" t="s">
        <v>738</v>
      </c>
      <c r="C17" s="179">
        <f>ROUND('DOE25'!L205+'DOE25'!L210+'DOE25'!L223+'DOE25'!L228+'DOE25'!L241+'DOE25'!L246+'DOE25'!L284+'DOE25'!L289+'DOE25'!L303+'DOE25'!L308+'DOE25'!L322+'DOE25'!L327,0)</f>
        <v>1582389</v>
      </c>
      <c r="D17" s="182">
        <f t="shared" si="0"/>
        <v>2.2000000000000002</v>
      </c>
    </row>
    <row r="18" spans="1:4" x14ac:dyDescent="0.2">
      <c r="A18">
        <v>2400</v>
      </c>
      <c r="B18" t="s">
        <v>711</v>
      </c>
      <c r="C18" s="179">
        <f>ROUND('DOE25'!L206+'DOE25'!L224+'DOE25'!L242+'DOE25'!L285+'DOE25'!L304+'DOE25'!L323,0)</f>
        <v>4946153</v>
      </c>
      <c r="D18" s="182">
        <f t="shared" si="0"/>
        <v>6.9</v>
      </c>
    </row>
    <row r="19" spans="1:4" x14ac:dyDescent="0.2">
      <c r="A19">
        <v>2500</v>
      </c>
      <c r="B19" t="s">
        <v>708</v>
      </c>
      <c r="C19" s="179">
        <f>ROUND('DOE25'!L207+'DOE25'!L225+'DOE25'!L243+'DOE25'!L286+'DOE25'!L305+'DOE25'!L324,0)</f>
        <v>777132</v>
      </c>
      <c r="D19" s="182">
        <f t="shared" si="0"/>
        <v>1.1000000000000001</v>
      </c>
    </row>
    <row r="20" spans="1:4" x14ac:dyDescent="0.2">
      <c r="A20">
        <v>2600</v>
      </c>
      <c r="B20" t="s">
        <v>709</v>
      </c>
      <c r="C20" s="179">
        <f>ROUND('DOE25'!L208+'DOE25'!L226+'DOE25'!L244+'DOE25'!L287+'DOE25'!L306+'DOE25'!L325,0)</f>
        <v>5231375</v>
      </c>
      <c r="D20" s="182">
        <f t="shared" si="0"/>
        <v>7.2</v>
      </c>
    </row>
    <row r="21" spans="1:4" x14ac:dyDescent="0.2">
      <c r="A21">
        <v>2700</v>
      </c>
      <c r="B21" t="s">
        <v>710</v>
      </c>
      <c r="C21" s="179">
        <f>ROUND('DOE25'!L209+'DOE25'!L227+'DOE25'!L245+'DOE25'!L288+'DOE25'!L307+'DOE25'!L326,0)</f>
        <v>3574899</v>
      </c>
      <c r="D21" s="182">
        <f t="shared" si="0"/>
        <v>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19058</v>
      </c>
      <c r="D24" s="182">
        <f t="shared" si="0"/>
        <v>0</v>
      </c>
    </row>
    <row r="25" spans="1:4" x14ac:dyDescent="0.2">
      <c r="A25">
        <v>5120</v>
      </c>
      <c r="B25" t="s">
        <v>716</v>
      </c>
      <c r="C25" s="179">
        <f>ROUND('DOE25'!L262+'DOE25'!L343,0)</f>
        <v>1066490</v>
      </c>
      <c r="D25" s="182">
        <f t="shared" si="0"/>
        <v>1.5</v>
      </c>
    </row>
    <row r="26" spans="1:4" x14ac:dyDescent="0.2">
      <c r="A26" s="183" t="s">
        <v>717</v>
      </c>
      <c r="B26" t="s">
        <v>718</v>
      </c>
      <c r="C26" s="179">
        <f>'DOE25'!L269+'DOE25'!L270+'DOE25'!L350+'DOE25'!L351</f>
        <v>39804.25</v>
      </c>
      <c r="D26" s="182">
        <f t="shared" si="0"/>
        <v>0.1</v>
      </c>
    </row>
    <row r="27" spans="1:4" x14ac:dyDescent="0.2">
      <c r="A27">
        <v>3100</v>
      </c>
      <c r="B27" t="s">
        <v>11</v>
      </c>
      <c r="C27" s="179">
        <f>ROUND('DOE25'!L363-'DOE25'!L362,0)-SUM('DOE25'!G97:G110)</f>
        <v>792008.62</v>
      </c>
      <c r="D27" s="182">
        <f t="shared" si="0"/>
        <v>1.1000000000000001</v>
      </c>
    </row>
    <row r="28" spans="1:4" x14ac:dyDescent="0.2">
      <c r="B28" s="187" t="s">
        <v>719</v>
      </c>
      <c r="C28" s="180">
        <f>SUM(C10:C27)</f>
        <v>72161665.870000005</v>
      </c>
      <c r="D28" s="184">
        <f>ROUND(SUM(D10:D27),0)</f>
        <v>100</v>
      </c>
    </row>
    <row r="29" spans="1:4" x14ac:dyDescent="0.2">
      <c r="A29">
        <v>4000</v>
      </c>
      <c r="B29" t="s">
        <v>724</v>
      </c>
      <c r="C29" s="179">
        <f>ROUND('DOE25'!L256+'DOE25'!L337+'DOE25'!L375+'DOE25'!L376+'DOE25'!L377+'DOE25'!L378+'DOE25'!L379+'DOE25'!L380+'DOE25'!L381,0)</f>
        <v>793052</v>
      </c>
    </row>
    <row r="30" spans="1:4" x14ac:dyDescent="0.2">
      <c r="B30" s="187" t="s">
        <v>725</v>
      </c>
      <c r="C30" s="180">
        <f>SUM(C28:C29)</f>
        <v>72954717.870000005</v>
      </c>
    </row>
    <row r="31" spans="1:4" x14ac:dyDescent="0.2">
      <c r="B31" s="33"/>
      <c r="C31" s="180"/>
    </row>
    <row r="32" spans="1:4" x14ac:dyDescent="0.2">
      <c r="A32">
        <v>5100</v>
      </c>
      <c r="B32" s="33" t="s">
        <v>726</v>
      </c>
      <c r="C32" s="180">
        <f>ROUND('DOE25'!L261+'DOE25'!L342,0)</f>
        <v>1845000</v>
      </c>
    </row>
    <row r="34" spans="1:4" x14ac:dyDescent="0.2">
      <c r="A34" s="187" t="s">
        <v>94</v>
      </c>
      <c r="B34" s="188" t="s">
        <v>1667</v>
      </c>
      <c r="C34" s="181" t="s">
        <v>720</v>
      </c>
      <c r="D34" s="181" t="s">
        <v>721</v>
      </c>
    </row>
    <row r="35" spans="1:4" x14ac:dyDescent="0.2">
      <c r="A35">
        <v>1100</v>
      </c>
      <c r="B35" s="185" t="s">
        <v>727</v>
      </c>
      <c r="C35" s="179">
        <f>ROUND('DOE25'!F60+'DOE25'!G60+'DOE25'!H60+'DOE25'!I60+'DOE25'!J60,0)</f>
        <v>52001397</v>
      </c>
      <c r="D35" s="182">
        <f t="shared" ref="D35:D40" si="1">ROUND((C35/$C$41)*100,1)</f>
        <v>69</v>
      </c>
    </row>
    <row r="36" spans="1:4" x14ac:dyDescent="0.2">
      <c r="B36" s="185" t="s">
        <v>739</v>
      </c>
      <c r="C36" s="179">
        <f>SUM('DOE25'!F112:J112)-SUM('DOE25'!G97:G110)+('DOE25'!F175+'DOE25'!F176+'DOE25'!I175+'DOE25'!I176)-C35</f>
        <v>1214306.2199999988</v>
      </c>
      <c r="D36" s="182">
        <f t="shared" si="1"/>
        <v>1.6</v>
      </c>
    </row>
    <row r="37" spans="1:4" x14ac:dyDescent="0.2">
      <c r="A37" s="183" t="s">
        <v>835</v>
      </c>
      <c r="B37" s="185" t="s">
        <v>728</v>
      </c>
      <c r="C37" s="179">
        <f>ROUND('DOE25'!F117+'DOE25'!F118,0)</f>
        <v>17641125</v>
      </c>
      <c r="D37" s="182">
        <f t="shared" si="1"/>
        <v>23.4</v>
      </c>
    </row>
    <row r="38" spans="1:4" x14ac:dyDescent="0.2">
      <c r="A38" s="183" t="s">
        <v>734</v>
      </c>
      <c r="B38" s="185" t="s">
        <v>729</v>
      </c>
      <c r="C38" s="179">
        <f>ROUND(SUM('DOE25'!F140:J140)-SUM('DOE25'!F117:F119),0)</f>
        <v>1505919</v>
      </c>
      <c r="D38" s="182">
        <f t="shared" si="1"/>
        <v>2</v>
      </c>
    </row>
    <row r="39" spans="1:4" x14ac:dyDescent="0.2">
      <c r="A39">
        <v>4000</v>
      </c>
      <c r="B39" s="185" t="s">
        <v>730</v>
      </c>
      <c r="C39" s="179">
        <f>ROUND('DOE25'!F170+'DOE25'!G170+'DOE25'!H170+'DOE25'!I170,0)</f>
        <v>2977629</v>
      </c>
      <c r="D39" s="182">
        <f t="shared" si="1"/>
        <v>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75340376.219999999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10" activePane="bottomLeft" state="frozen"/>
      <selection activeCell="F46" sqref="F46"/>
      <selection pane="bottomLeft" activeCell="C14" sqref="C14:M14"/>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Bedford</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v>4</v>
      </c>
      <c r="B7" s="219">
        <v>4</v>
      </c>
      <c r="C7" s="376" t="s">
        <v>1679</v>
      </c>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v>5</v>
      </c>
      <c r="B10" s="219">
        <v>14</v>
      </c>
      <c r="C10" s="376" t="s">
        <v>1678</v>
      </c>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t="s">
        <v>1676</v>
      </c>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v>19</v>
      </c>
      <c r="B14" s="219">
        <v>3</v>
      </c>
      <c r="C14" s="376" t="s">
        <v>1680</v>
      </c>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0">C5=C4</f>
        <v>0</v>
      </c>
      <c r="G5" s="339">
        <v>725</v>
      </c>
      <c r="H5" s="339" t="s">
        <v>1513</v>
      </c>
      <c r="I5" s="339" t="s">
        <v>1515</v>
      </c>
      <c r="J5" s="339">
        <v>28580</v>
      </c>
      <c r="K5" s="339" t="s">
        <v>1539</v>
      </c>
      <c r="L5" s="288" t="b">
        <f t="shared" ref="L5:L68" si="1">I5=I4</f>
        <v>0</v>
      </c>
      <c r="M5" s="339">
        <v>267</v>
      </c>
      <c r="N5" s="339" t="s">
        <v>1132</v>
      </c>
      <c r="O5" s="339" t="s">
        <v>1134</v>
      </c>
      <c r="P5" s="339">
        <v>21050</v>
      </c>
      <c r="Q5" s="339" t="s">
        <v>1540</v>
      </c>
      <c r="R5" s="288" t="b">
        <f t="shared" ref="R5:R68" si="2">O5=O4</f>
        <v>0</v>
      </c>
    </row>
    <row r="6" spans="1:18" x14ac:dyDescent="0.2">
      <c r="A6" s="338">
        <v>225</v>
      </c>
      <c r="B6" s="338" t="s">
        <v>1090</v>
      </c>
      <c r="C6" s="338" t="s">
        <v>1092</v>
      </c>
      <c r="D6" s="338">
        <v>20795</v>
      </c>
      <c r="E6" s="338" t="s">
        <v>61</v>
      </c>
      <c r="F6" s="288" t="b">
        <f t="shared" si="0"/>
        <v>0</v>
      </c>
      <c r="G6" s="339">
        <v>17</v>
      </c>
      <c r="H6" s="339" t="s">
        <v>916</v>
      </c>
      <c r="I6" s="339" t="s">
        <v>917</v>
      </c>
      <c r="J6" s="339">
        <v>21745</v>
      </c>
      <c r="K6" s="339" t="s">
        <v>1539</v>
      </c>
      <c r="L6" s="288" t="b">
        <f t="shared" si="1"/>
        <v>0</v>
      </c>
      <c r="M6" s="339">
        <v>41</v>
      </c>
      <c r="N6" s="339" t="s">
        <v>935</v>
      </c>
      <c r="O6" s="339" t="s">
        <v>939</v>
      </c>
      <c r="P6" s="339">
        <v>28555</v>
      </c>
      <c r="Q6" s="339" t="s">
        <v>1540</v>
      </c>
      <c r="R6" s="288" t="b">
        <f t="shared" si="2"/>
        <v>0</v>
      </c>
    </row>
    <row r="7" spans="1:18" x14ac:dyDescent="0.2">
      <c r="A7" s="339">
        <v>9</v>
      </c>
      <c r="B7" s="339" t="s">
        <v>911</v>
      </c>
      <c r="C7" s="339" t="s">
        <v>913</v>
      </c>
      <c r="D7" s="339">
        <v>22580</v>
      </c>
      <c r="E7" s="339" t="s">
        <v>61</v>
      </c>
      <c r="F7" s="288" t="b">
        <f t="shared" si="0"/>
        <v>0</v>
      </c>
      <c r="G7" s="338">
        <v>33</v>
      </c>
      <c r="H7" s="338" t="s">
        <v>927</v>
      </c>
      <c r="I7" s="338" t="s">
        <v>928</v>
      </c>
      <c r="J7" s="338">
        <v>22030</v>
      </c>
      <c r="K7" s="338" t="s">
        <v>1539</v>
      </c>
      <c r="L7" s="288" t="b">
        <f t="shared" si="1"/>
        <v>0</v>
      </c>
      <c r="M7" s="338">
        <v>486</v>
      </c>
      <c r="N7" s="338" t="s">
        <v>1413</v>
      </c>
      <c r="O7" s="338" t="s">
        <v>1416</v>
      </c>
      <c r="P7" s="338">
        <v>22145</v>
      </c>
      <c r="Q7" s="338" t="s">
        <v>1540</v>
      </c>
      <c r="R7" s="288" t="b">
        <f t="shared" si="2"/>
        <v>0</v>
      </c>
    </row>
    <row r="8" spans="1:18" x14ac:dyDescent="0.2">
      <c r="A8" s="338">
        <v>174</v>
      </c>
      <c r="B8" s="338" t="s">
        <v>1035</v>
      </c>
      <c r="C8" s="338" t="s">
        <v>1037</v>
      </c>
      <c r="D8" s="338">
        <v>22965</v>
      </c>
      <c r="E8" s="338" t="s">
        <v>61</v>
      </c>
      <c r="F8" s="288" t="b">
        <f t="shared" si="0"/>
        <v>0</v>
      </c>
      <c r="G8" s="338">
        <v>486</v>
      </c>
      <c r="H8" s="338" t="s">
        <v>1413</v>
      </c>
      <c r="I8" s="338" t="s">
        <v>1417</v>
      </c>
      <c r="J8" s="338">
        <v>22150</v>
      </c>
      <c r="K8" s="338" t="s">
        <v>1539</v>
      </c>
      <c r="L8" s="288" t="b">
        <f t="shared" si="1"/>
        <v>0</v>
      </c>
      <c r="M8" s="338">
        <v>51</v>
      </c>
      <c r="N8" s="338" t="s">
        <v>941</v>
      </c>
      <c r="O8" s="338" t="s">
        <v>943</v>
      </c>
      <c r="P8" s="338">
        <v>20050</v>
      </c>
      <c r="Q8" s="338" t="s">
        <v>1540</v>
      </c>
      <c r="R8" s="288" t="b">
        <f t="shared" si="2"/>
        <v>0</v>
      </c>
    </row>
    <row r="9" spans="1:18" x14ac:dyDescent="0.2">
      <c r="A9" s="339">
        <v>15</v>
      </c>
      <c r="B9" s="339" t="s">
        <v>914</v>
      </c>
      <c r="C9" s="339" t="s">
        <v>915</v>
      </c>
      <c r="D9" s="339">
        <v>22480</v>
      </c>
      <c r="E9" s="339" t="s">
        <v>61</v>
      </c>
      <c r="F9" s="288" t="b">
        <f t="shared" si="0"/>
        <v>0</v>
      </c>
      <c r="G9" s="338">
        <v>51</v>
      </c>
      <c r="H9" s="338" t="s">
        <v>941</v>
      </c>
      <c r="I9" s="338" t="s">
        <v>942</v>
      </c>
      <c r="J9" s="338">
        <v>20045</v>
      </c>
      <c r="K9" s="338" t="s">
        <v>1539</v>
      </c>
      <c r="L9" s="288" t="b">
        <f t="shared" si="1"/>
        <v>0</v>
      </c>
      <c r="M9" s="339">
        <v>57</v>
      </c>
      <c r="N9" s="339" t="s">
        <v>946</v>
      </c>
      <c r="O9" s="339" t="s">
        <v>949</v>
      </c>
      <c r="P9" s="339">
        <v>27375</v>
      </c>
      <c r="Q9" s="339" t="s">
        <v>1540</v>
      </c>
      <c r="R9" s="288" t="b">
        <f t="shared" si="2"/>
        <v>0</v>
      </c>
    </row>
    <row r="10" spans="1:18" x14ac:dyDescent="0.2">
      <c r="A10" s="339">
        <v>371</v>
      </c>
      <c r="B10" s="339" t="s">
        <v>1286</v>
      </c>
      <c r="C10" s="339" t="s">
        <v>1302</v>
      </c>
      <c r="D10" s="339">
        <v>21940</v>
      </c>
      <c r="E10" s="339" t="s">
        <v>61</v>
      </c>
      <c r="F10" s="288" t="b">
        <f t="shared" si="0"/>
        <v>0</v>
      </c>
      <c r="G10" s="339">
        <v>57</v>
      </c>
      <c r="H10" s="339" t="s">
        <v>946</v>
      </c>
      <c r="I10" s="339" t="s">
        <v>947</v>
      </c>
      <c r="J10" s="339">
        <v>20675</v>
      </c>
      <c r="K10" s="339" t="s">
        <v>1539</v>
      </c>
      <c r="L10" s="288" t="b">
        <f t="shared" si="1"/>
        <v>0</v>
      </c>
      <c r="M10" s="338">
        <v>461</v>
      </c>
      <c r="N10" s="338" t="s">
        <v>1379</v>
      </c>
      <c r="O10" s="338" t="s">
        <v>1383</v>
      </c>
      <c r="P10" s="338">
        <v>22675</v>
      </c>
      <c r="Q10" s="338" t="s">
        <v>1540</v>
      </c>
      <c r="R10" s="288" t="b">
        <f t="shared" si="2"/>
        <v>0</v>
      </c>
    </row>
    <row r="11" spans="1:18" x14ac:dyDescent="0.2">
      <c r="A11" s="339">
        <v>19</v>
      </c>
      <c r="B11" s="339" t="s">
        <v>919</v>
      </c>
      <c r="C11" s="339" t="s">
        <v>920</v>
      </c>
      <c r="D11" s="339">
        <v>22130</v>
      </c>
      <c r="E11" s="339" t="s">
        <v>61</v>
      </c>
      <c r="F11" s="288" t="b">
        <f t="shared" si="0"/>
        <v>0</v>
      </c>
      <c r="G11" s="338">
        <v>342</v>
      </c>
      <c r="H11" s="338" t="s">
        <v>1235</v>
      </c>
      <c r="I11" s="338" t="s">
        <v>1236</v>
      </c>
      <c r="J11" s="338">
        <v>26685</v>
      </c>
      <c r="K11" s="338" t="s">
        <v>1539</v>
      </c>
      <c r="L11" s="288" t="b">
        <f t="shared" si="1"/>
        <v>0</v>
      </c>
      <c r="M11" s="339">
        <v>315</v>
      </c>
      <c r="N11" s="339" t="s">
        <v>1193</v>
      </c>
      <c r="O11" s="339" t="s">
        <v>1195</v>
      </c>
      <c r="P11" s="339">
        <v>27715</v>
      </c>
      <c r="Q11" s="339" t="s">
        <v>1540</v>
      </c>
      <c r="R11" s="288" t="b">
        <f t="shared" si="2"/>
        <v>0</v>
      </c>
    </row>
    <row r="12" spans="1:18" x14ac:dyDescent="0.2">
      <c r="A12" s="339">
        <v>112</v>
      </c>
      <c r="B12" s="339" t="s">
        <v>978</v>
      </c>
      <c r="C12" s="339" t="s">
        <v>980</v>
      </c>
      <c r="D12" s="339">
        <v>22215</v>
      </c>
      <c r="E12" s="339" t="s">
        <v>61</v>
      </c>
      <c r="F12" s="288" t="b">
        <f t="shared" si="0"/>
        <v>0</v>
      </c>
      <c r="G12" s="338">
        <v>101</v>
      </c>
      <c r="H12" s="338" t="s">
        <v>964</v>
      </c>
      <c r="I12" s="338" t="s">
        <v>965</v>
      </c>
      <c r="J12" s="338">
        <v>20115</v>
      </c>
      <c r="K12" s="338" t="s">
        <v>1539</v>
      </c>
      <c r="L12" s="288" t="b">
        <f t="shared" si="1"/>
        <v>0</v>
      </c>
      <c r="M12" s="339">
        <v>707</v>
      </c>
      <c r="N12" s="339" t="s">
        <v>1501</v>
      </c>
      <c r="O12" s="339" t="s">
        <v>1501</v>
      </c>
      <c r="P12" s="339">
        <v>28455</v>
      </c>
      <c r="Q12" s="339" t="s">
        <v>1540</v>
      </c>
      <c r="R12" s="288" t="b">
        <f t="shared" si="2"/>
        <v>0</v>
      </c>
    </row>
    <row r="13" spans="1:18" x14ac:dyDescent="0.2">
      <c r="A13" s="338">
        <v>9</v>
      </c>
      <c r="B13" s="338" t="s">
        <v>911</v>
      </c>
      <c r="C13" s="338" t="s">
        <v>912</v>
      </c>
      <c r="D13" s="338">
        <v>22575</v>
      </c>
      <c r="E13" s="338" t="s">
        <v>61</v>
      </c>
      <c r="F13" s="288" t="b">
        <f t="shared" si="0"/>
        <v>0</v>
      </c>
      <c r="G13" s="339">
        <v>172</v>
      </c>
      <c r="H13" s="339" t="s">
        <v>1029</v>
      </c>
      <c r="I13" s="339" t="s">
        <v>1030</v>
      </c>
      <c r="J13" s="339">
        <v>20590</v>
      </c>
      <c r="K13" s="339" t="s">
        <v>1539</v>
      </c>
      <c r="L13" s="288" t="b">
        <f t="shared" si="1"/>
        <v>0</v>
      </c>
      <c r="M13" s="338">
        <v>998</v>
      </c>
      <c r="N13" s="338" t="s">
        <v>1640</v>
      </c>
      <c r="O13" s="338" t="s">
        <v>1640</v>
      </c>
      <c r="P13" s="338">
        <v>22025</v>
      </c>
      <c r="Q13" s="338" t="s">
        <v>1540</v>
      </c>
      <c r="R13" s="288" t="b">
        <f t="shared" si="2"/>
        <v>0</v>
      </c>
    </row>
    <row r="14" spans="1:18" x14ac:dyDescent="0.2">
      <c r="A14" s="338">
        <v>23</v>
      </c>
      <c r="B14" s="338" t="s">
        <v>921</v>
      </c>
      <c r="C14" s="338" t="s">
        <v>922</v>
      </c>
      <c r="D14" s="338">
        <v>20010</v>
      </c>
      <c r="E14" s="338" t="s">
        <v>61</v>
      </c>
      <c r="F14" s="288" t="b">
        <f t="shared" si="0"/>
        <v>0</v>
      </c>
      <c r="G14" s="338">
        <v>317</v>
      </c>
      <c r="H14" s="338" t="s">
        <v>1197</v>
      </c>
      <c r="I14" s="338" t="s">
        <v>1198</v>
      </c>
      <c r="J14" s="338">
        <v>21440</v>
      </c>
      <c r="K14" s="338" t="s">
        <v>1539</v>
      </c>
      <c r="L14" s="288" t="b">
        <f t="shared" si="1"/>
        <v>0</v>
      </c>
      <c r="M14" s="339">
        <v>105</v>
      </c>
      <c r="N14" s="339" t="s">
        <v>969</v>
      </c>
      <c r="O14" s="339" t="s">
        <v>1617</v>
      </c>
      <c r="P14" s="339">
        <v>20185</v>
      </c>
      <c r="Q14" s="339" t="s">
        <v>1540</v>
      </c>
      <c r="R14" s="288" t="b">
        <f t="shared" si="2"/>
        <v>0</v>
      </c>
    </row>
    <row r="15" spans="1:18" x14ac:dyDescent="0.2">
      <c r="A15" s="339">
        <v>534</v>
      </c>
      <c r="B15" s="339" t="s">
        <v>1446</v>
      </c>
      <c r="C15" s="339" t="s">
        <v>1448</v>
      </c>
      <c r="D15" s="339">
        <v>22740</v>
      </c>
      <c r="E15" s="339" t="s">
        <v>61</v>
      </c>
      <c r="F15" s="288" t="b">
        <f t="shared" si="0"/>
        <v>0</v>
      </c>
      <c r="G15" s="339">
        <v>261</v>
      </c>
      <c r="H15" s="339" t="s">
        <v>1123</v>
      </c>
      <c r="I15" s="339" t="s">
        <v>1126</v>
      </c>
      <c r="J15" s="339">
        <v>28050</v>
      </c>
      <c r="K15" s="339" t="s">
        <v>1539</v>
      </c>
      <c r="L15" s="288" t="b">
        <f t="shared" si="1"/>
        <v>0</v>
      </c>
      <c r="M15" s="339">
        <v>274</v>
      </c>
      <c r="N15" s="339" t="s">
        <v>1145</v>
      </c>
      <c r="O15" s="339" t="s">
        <v>1147</v>
      </c>
      <c r="P15" s="339">
        <v>22265</v>
      </c>
      <c r="Q15" s="339" t="s">
        <v>1540</v>
      </c>
      <c r="R15" s="288" t="b">
        <f t="shared" si="2"/>
        <v>0</v>
      </c>
    </row>
    <row r="16" spans="1:18" x14ac:dyDescent="0.2">
      <c r="A16" s="339">
        <v>29</v>
      </c>
      <c r="B16" s="339" t="s">
        <v>923</v>
      </c>
      <c r="C16" s="339" t="s">
        <v>924</v>
      </c>
      <c r="D16" s="339">
        <v>20530</v>
      </c>
      <c r="E16" s="339" t="s">
        <v>61</v>
      </c>
      <c r="F16" s="288" t="b">
        <f t="shared" si="0"/>
        <v>0</v>
      </c>
      <c r="G16" s="339">
        <v>141</v>
      </c>
      <c r="H16" s="339" t="s">
        <v>1009</v>
      </c>
      <c r="I16" s="339" t="s">
        <v>1011</v>
      </c>
      <c r="J16" s="339">
        <v>20435</v>
      </c>
      <c r="K16" s="339" t="s">
        <v>1539</v>
      </c>
      <c r="L16" s="288" t="b">
        <f t="shared" si="1"/>
        <v>0</v>
      </c>
      <c r="M16" s="338">
        <v>111</v>
      </c>
      <c r="N16" s="338" t="s">
        <v>970</v>
      </c>
      <c r="O16" s="338" t="s">
        <v>976</v>
      </c>
      <c r="P16" s="338">
        <v>20285</v>
      </c>
      <c r="Q16" s="338" t="s">
        <v>1540</v>
      </c>
      <c r="R16" s="288" t="b">
        <f t="shared" si="2"/>
        <v>0</v>
      </c>
    </row>
    <row r="17" spans="1:18" x14ac:dyDescent="0.2">
      <c r="A17" s="338">
        <v>335</v>
      </c>
      <c r="B17" s="338" t="s">
        <v>906</v>
      </c>
      <c r="C17" s="338" t="s">
        <v>1218</v>
      </c>
      <c r="D17" s="338">
        <v>21545</v>
      </c>
      <c r="E17" s="338" t="s">
        <v>61</v>
      </c>
      <c r="F17" s="288" t="b">
        <f t="shared" si="0"/>
        <v>0</v>
      </c>
      <c r="G17" s="339">
        <v>371</v>
      </c>
      <c r="H17" s="339" t="s">
        <v>1286</v>
      </c>
      <c r="I17" s="339" t="s">
        <v>1296</v>
      </c>
      <c r="J17" s="339">
        <v>21890</v>
      </c>
      <c r="K17" s="339" t="s">
        <v>1539</v>
      </c>
      <c r="L17" s="288" t="b">
        <f t="shared" si="1"/>
        <v>0</v>
      </c>
      <c r="M17" s="339">
        <v>112</v>
      </c>
      <c r="N17" s="339" t="s">
        <v>978</v>
      </c>
      <c r="O17" s="339" t="s">
        <v>986</v>
      </c>
      <c r="P17" s="339">
        <v>22290</v>
      </c>
      <c r="Q17" s="339" t="s">
        <v>1540</v>
      </c>
      <c r="R17" s="288" t="b">
        <f t="shared" si="2"/>
        <v>0</v>
      </c>
    </row>
    <row r="18" spans="1:18" x14ac:dyDescent="0.2">
      <c r="A18" s="338">
        <v>31</v>
      </c>
      <c r="B18" s="338" t="s">
        <v>925</v>
      </c>
      <c r="C18" s="338" t="s">
        <v>926</v>
      </c>
      <c r="D18" s="338">
        <v>22485</v>
      </c>
      <c r="E18" s="338" t="s">
        <v>61</v>
      </c>
      <c r="F18" s="288" t="b">
        <f t="shared" si="0"/>
        <v>0</v>
      </c>
      <c r="G18" s="338">
        <v>165</v>
      </c>
      <c r="H18" s="338" t="s">
        <v>1022</v>
      </c>
      <c r="I18" s="338" t="s">
        <v>1023</v>
      </c>
      <c r="J18" s="338">
        <v>26505</v>
      </c>
      <c r="K18" s="338" t="s">
        <v>1539</v>
      </c>
      <c r="L18" s="288" t="b">
        <f t="shared" si="1"/>
        <v>0</v>
      </c>
      <c r="M18" s="338">
        <v>723</v>
      </c>
      <c r="N18" s="338" t="s">
        <v>1512</v>
      </c>
      <c r="O18" s="338" t="s">
        <v>1512</v>
      </c>
      <c r="P18" s="338">
        <v>28575</v>
      </c>
      <c r="Q18" s="338" t="s">
        <v>1540</v>
      </c>
      <c r="R18" s="288" t="b">
        <f t="shared" si="2"/>
        <v>0</v>
      </c>
    </row>
    <row r="19" spans="1:18" x14ac:dyDescent="0.2">
      <c r="A19" s="339">
        <v>33</v>
      </c>
      <c r="B19" s="339" t="s">
        <v>927</v>
      </c>
      <c r="C19" s="339" t="s">
        <v>929</v>
      </c>
      <c r="D19" s="339">
        <v>22045</v>
      </c>
      <c r="E19" s="339" t="s">
        <v>61</v>
      </c>
      <c r="F19" s="288" t="b">
        <f t="shared" si="0"/>
        <v>0</v>
      </c>
      <c r="G19" s="338">
        <v>371</v>
      </c>
      <c r="H19" s="338" t="s">
        <v>1286</v>
      </c>
      <c r="I19" s="338" t="s">
        <v>1294</v>
      </c>
      <c r="J19" s="338">
        <v>21875</v>
      </c>
      <c r="K19" s="338" t="s">
        <v>1539</v>
      </c>
      <c r="L19" s="288" t="b">
        <f t="shared" si="1"/>
        <v>0</v>
      </c>
      <c r="M19" s="339">
        <v>141</v>
      </c>
      <c r="N19" s="339" t="s">
        <v>1009</v>
      </c>
      <c r="O19" s="339" t="s">
        <v>1013</v>
      </c>
      <c r="P19" s="339">
        <v>20455</v>
      </c>
      <c r="Q19" s="339" t="s">
        <v>1540</v>
      </c>
      <c r="R19" s="288" t="b">
        <f t="shared" si="2"/>
        <v>0</v>
      </c>
    </row>
    <row r="20" spans="1:18" x14ac:dyDescent="0.2">
      <c r="A20" s="339">
        <v>199</v>
      </c>
      <c r="B20" s="339" t="s">
        <v>1065</v>
      </c>
      <c r="C20" s="339" t="s">
        <v>1068</v>
      </c>
      <c r="D20" s="339">
        <v>20695</v>
      </c>
      <c r="E20" s="339" t="s">
        <v>61</v>
      </c>
      <c r="F20" s="288" t="b">
        <f t="shared" si="0"/>
        <v>0</v>
      </c>
      <c r="G20" s="339">
        <v>131</v>
      </c>
      <c r="H20" s="339" t="s">
        <v>1001</v>
      </c>
      <c r="I20" s="339" t="s">
        <v>1008</v>
      </c>
      <c r="J20" s="339">
        <v>20420</v>
      </c>
      <c r="K20" s="339" t="s">
        <v>1539</v>
      </c>
      <c r="L20" s="288" t="b">
        <f t="shared" si="1"/>
        <v>0</v>
      </c>
      <c r="M20" s="339">
        <v>165</v>
      </c>
      <c r="N20" s="339" t="s">
        <v>1022</v>
      </c>
      <c r="O20" s="339" t="s">
        <v>1542</v>
      </c>
      <c r="P20" s="339">
        <v>20515</v>
      </c>
      <c r="Q20" s="339" t="s">
        <v>1540</v>
      </c>
      <c r="R20" s="288" t="b">
        <f t="shared" si="2"/>
        <v>0</v>
      </c>
    </row>
    <row r="21" spans="1:18" x14ac:dyDescent="0.2">
      <c r="A21" s="338">
        <v>39</v>
      </c>
      <c r="B21" s="338" t="s">
        <v>933</v>
      </c>
      <c r="C21" s="338" t="s">
        <v>934</v>
      </c>
      <c r="D21" s="338">
        <v>20860</v>
      </c>
      <c r="E21" s="338" t="s">
        <v>61</v>
      </c>
      <c r="F21" s="288" t="b">
        <f t="shared" si="0"/>
        <v>0</v>
      </c>
      <c r="G21" s="338">
        <v>191</v>
      </c>
      <c r="H21" s="338" t="s">
        <v>1059</v>
      </c>
      <c r="I21" s="338" t="s">
        <v>1062</v>
      </c>
      <c r="J21" s="338">
        <v>26995</v>
      </c>
      <c r="K21" s="338" t="s">
        <v>1539</v>
      </c>
      <c r="L21" s="288" t="b">
        <f t="shared" si="1"/>
        <v>0</v>
      </c>
      <c r="M21" s="338">
        <v>172</v>
      </c>
      <c r="N21" s="338" t="s">
        <v>1029</v>
      </c>
      <c r="O21" s="338" t="s">
        <v>1031</v>
      </c>
      <c r="P21" s="338">
        <v>20600</v>
      </c>
      <c r="Q21" s="338" t="s">
        <v>1540</v>
      </c>
      <c r="R21" s="288" t="b">
        <f t="shared" si="2"/>
        <v>0</v>
      </c>
    </row>
    <row r="22" spans="1:18" x14ac:dyDescent="0.2">
      <c r="A22" s="339">
        <v>111</v>
      </c>
      <c r="B22" s="339" t="s">
        <v>970</v>
      </c>
      <c r="C22" s="339" t="s">
        <v>971</v>
      </c>
      <c r="D22" s="339">
        <v>26490</v>
      </c>
      <c r="E22" s="339" t="s">
        <v>61</v>
      </c>
      <c r="F22" s="288" t="b">
        <f t="shared" si="0"/>
        <v>0</v>
      </c>
      <c r="G22" s="338">
        <v>203</v>
      </c>
      <c r="H22" s="338" t="s">
        <v>1070</v>
      </c>
      <c r="I22" s="338" t="s">
        <v>1073</v>
      </c>
      <c r="J22" s="338">
        <v>27005</v>
      </c>
      <c r="K22" s="338" t="s">
        <v>1539</v>
      </c>
      <c r="L22" s="288" t="b">
        <f t="shared" si="1"/>
        <v>0</v>
      </c>
      <c r="M22" s="339">
        <v>174</v>
      </c>
      <c r="N22" s="339" t="s">
        <v>1035</v>
      </c>
      <c r="O22" s="339" t="s">
        <v>1042</v>
      </c>
      <c r="P22" s="339">
        <v>22990</v>
      </c>
      <c r="Q22" s="339" t="s">
        <v>1540</v>
      </c>
      <c r="R22" s="288" t="b">
        <f t="shared" si="2"/>
        <v>0</v>
      </c>
    </row>
    <row r="23" spans="1:18" x14ac:dyDescent="0.2">
      <c r="A23" s="339">
        <v>335</v>
      </c>
      <c r="B23" s="339" t="s">
        <v>906</v>
      </c>
      <c r="C23" s="339" t="s">
        <v>1224</v>
      </c>
      <c r="D23" s="339">
        <v>21600</v>
      </c>
      <c r="E23" s="339" t="s">
        <v>61</v>
      </c>
      <c r="F23" s="288" t="b">
        <f t="shared" si="0"/>
        <v>0</v>
      </c>
      <c r="G23" s="338">
        <v>709</v>
      </c>
      <c r="H23" s="338" t="s">
        <v>1505</v>
      </c>
      <c r="I23" s="338" t="s">
        <v>1507</v>
      </c>
      <c r="J23" s="338">
        <v>28620</v>
      </c>
      <c r="K23" s="338" t="s">
        <v>1539</v>
      </c>
      <c r="L23" s="288" t="b">
        <f t="shared" si="1"/>
        <v>0</v>
      </c>
      <c r="M23" s="338">
        <v>175</v>
      </c>
      <c r="N23" s="338" t="s">
        <v>1047</v>
      </c>
      <c r="O23" s="338" t="s">
        <v>1049</v>
      </c>
      <c r="P23" s="338">
        <v>22050</v>
      </c>
      <c r="Q23" s="338" t="s">
        <v>1540</v>
      </c>
      <c r="R23" s="288" t="b">
        <f t="shared" si="2"/>
        <v>0</v>
      </c>
    </row>
    <row r="24" spans="1:18" x14ac:dyDescent="0.2">
      <c r="A24" s="339">
        <v>486</v>
      </c>
      <c r="B24" s="339" t="s">
        <v>1413</v>
      </c>
      <c r="C24" s="339" t="s">
        <v>1415</v>
      </c>
      <c r="D24" s="339">
        <v>22135</v>
      </c>
      <c r="E24" s="339" t="s">
        <v>61</v>
      </c>
      <c r="F24" s="288" t="b">
        <f t="shared" si="0"/>
        <v>0</v>
      </c>
      <c r="G24" s="338">
        <v>112</v>
      </c>
      <c r="H24" s="338" t="s">
        <v>978</v>
      </c>
      <c r="I24" s="338" t="s">
        <v>979</v>
      </c>
      <c r="J24" s="338">
        <v>22210</v>
      </c>
      <c r="K24" s="338" t="s">
        <v>1539</v>
      </c>
      <c r="L24" s="288" t="b">
        <f t="shared" si="1"/>
        <v>0</v>
      </c>
      <c r="M24" s="339">
        <v>185</v>
      </c>
      <c r="N24" s="339" t="s">
        <v>1051</v>
      </c>
      <c r="O24" s="339" t="s">
        <v>1053</v>
      </c>
      <c r="P24" s="339">
        <v>20660</v>
      </c>
      <c r="Q24" s="339" t="s">
        <v>1540</v>
      </c>
      <c r="R24" s="288" t="b">
        <f t="shared" si="2"/>
        <v>0</v>
      </c>
    </row>
    <row r="25" spans="1:18" x14ac:dyDescent="0.2">
      <c r="A25" s="339">
        <v>51</v>
      </c>
      <c r="B25" s="339" t="s">
        <v>941</v>
      </c>
      <c r="C25" s="339" t="s">
        <v>1605</v>
      </c>
      <c r="D25" s="339">
        <v>27035</v>
      </c>
      <c r="E25" s="339" t="s">
        <v>61</v>
      </c>
      <c r="F25" s="288" t="b">
        <f t="shared" si="0"/>
        <v>0</v>
      </c>
      <c r="G25" s="338">
        <v>223</v>
      </c>
      <c r="H25" s="338" t="s">
        <v>1087</v>
      </c>
      <c r="I25" s="338" t="s">
        <v>1088</v>
      </c>
      <c r="J25" s="338">
        <v>22750</v>
      </c>
      <c r="K25" s="338" t="s">
        <v>1539</v>
      </c>
      <c r="L25" s="288" t="b">
        <f t="shared" si="1"/>
        <v>0</v>
      </c>
      <c r="M25" s="338">
        <v>191</v>
      </c>
      <c r="N25" s="338" t="s">
        <v>1059</v>
      </c>
      <c r="O25" s="338" t="s">
        <v>1060</v>
      </c>
      <c r="P25" s="338">
        <v>21240</v>
      </c>
      <c r="Q25" s="338" t="s">
        <v>1540</v>
      </c>
      <c r="R25" s="288" t="b">
        <f t="shared" si="2"/>
        <v>0</v>
      </c>
    </row>
    <row r="26" spans="1:18" x14ac:dyDescent="0.2">
      <c r="A26" s="338">
        <v>233</v>
      </c>
      <c r="B26" s="338" t="s">
        <v>1095</v>
      </c>
      <c r="C26" s="338" t="s">
        <v>1096</v>
      </c>
      <c r="D26" s="338">
        <v>20830</v>
      </c>
      <c r="E26" s="338" t="s">
        <v>61</v>
      </c>
      <c r="F26" s="288" t="b">
        <f t="shared" si="0"/>
        <v>0</v>
      </c>
      <c r="G26" s="339">
        <v>238</v>
      </c>
      <c r="H26" s="339" t="s">
        <v>1099</v>
      </c>
      <c r="I26" s="339" t="s">
        <v>1102</v>
      </c>
      <c r="J26" s="339">
        <v>26875</v>
      </c>
      <c r="K26" s="339" t="s">
        <v>1539</v>
      </c>
      <c r="L26" s="288" t="b">
        <f t="shared" si="1"/>
        <v>0</v>
      </c>
      <c r="M26" s="339">
        <v>199</v>
      </c>
      <c r="N26" s="339" t="s">
        <v>1065</v>
      </c>
      <c r="O26" s="339" t="s">
        <v>1069</v>
      </c>
      <c r="P26" s="339">
        <v>20700</v>
      </c>
      <c r="Q26" s="339" t="s">
        <v>1540</v>
      </c>
      <c r="R26" s="288" t="b">
        <f t="shared" si="2"/>
        <v>0</v>
      </c>
    </row>
    <row r="27" spans="1:18" x14ac:dyDescent="0.2">
      <c r="A27" s="338">
        <v>53</v>
      </c>
      <c r="B27" s="338" t="s">
        <v>944</v>
      </c>
      <c r="C27" s="338" t="s">
        <v>945</v>
      </c>
      <c r="D27" s="338">
        <v>21400</v>
      </c>
      <c r="E27" s="338" t="s">
        <v>61</v>
      </c>
      <c r="F27" s="288" t="b">
        <f t="shared" si="0"/>
        <v>0</v>
      </c>
      <c r="G27" s="338">
        <v>335</v>
      </c>
      <c r="H27" s="338" t="s">
        <v>906</v>
      </c>
      <c r="I27" s="338" t="s">
        <v>1615</v>
      </c>
      <c r="J27" s="338">
        <v>27595</v>
      </c>
      <c r="K27" s="338" t="s">
        <v>1539</v>
      </c>
      <c r="L27" s="288" t="b">
        <f t="shared" si="1"/>
        <v>0</v>
      </c>
      <c r="M27" s="338">
        <v>203</v>
      </c>
      <c r="N27" s="338" t="s">
        <v>1070</v>
      </c>
      <c r="O27" s="338" t="s">
        <v>1072</v>
      </c>
      <c r="P27" s="338">
        <v>20750</v>
      </c>
      <c r="Q27" s="338" t="s">
        <v>1540</v>
      </c>
      <c r="R27" s="288" t="b">
        <f t="shared" si="2"/>
        <v>0</v>
      </c>
    </row>
    <row r="28" spans="1:18" x14ac:dyDescent="0.2">
      <c r="A28" s="338">
        <v>371</v>
      </c>
      <c r="B28" s="338" t="s">
        <v>1286</v>
      </c>
      <c r="C28" s="338" t="s">
        <v>1293</v>
      </c>
      <c r="D28" s="338">
        <v>21865</v>
      </c>
      <c r="E28" s="338" t="s">
        <v>61</v>
      </c>
      <c r="F28" s="288" t="b">
        <f t="shared" si="0"/>
        <v>0</v>
      </c>
      <c r="G28" s="338">
        <v>251</v>
      </c>
      <c r="H28" s="338" t="s">
        <v>1107</v>
      </c>
      <c r="I28" s="338" t="s">
        <v>1110</v>
      </c>
      <c r="J28" s="338">
        <v>20960</v>
      </c>
      <c r="K28" s="338" t="s">
        <v>1539</v>
      </c>
      <c r="L28" s="288" t="b">
        <f t="shared" si="1"/>
        <v>0</v>
      </c>
      <c r="M28" s="338">
        <v>702</v>
      </c>
      <c r="N28" s="338" t="s">
        <v>1494</v>
      </c>
      <c r="O28" s="338" t="s">
        <v>1494</v>
      </c>
      <c r="P28" s="338">
        <v>29153</v>
      </c>
      <c r="Q28" s="338" t="s">
        <v>1540</v>
      </c>
      <c r="R28" s="288" t="b">
        <f t="shared" si="2"/>
        <v>0</v>
      </c>
    </row>
    <row r="29" spans="1:18" x14ac:dyDescent="0.2">
      <c r="A29" s="339">
        <v>371</v>
      </c>
      <c r="B29" s="339" t="s">
        <v>1286</v>
      </c>
      <c r="C29" s="339" t="s">
        <v>1297</v>
      </c>
      <c r="D29" s="339">
        <v>21895</v>
      </c>
      <c r="E29" s="339" t="s">
        <v>61</v>
      </c>
      <c r="F29" s="288" t="b">
        <f t="shared" si="0"/>
        <v>0</v>
      </c>
      <c r="G29" s="339">
        <v>335</v>
      </c>
      <c r="H29" s="339" t="s">
        <v>906</v>
      </c>
      <c r="I29" s="339" t="s">
        <v>1214</v>
      </c>
      <c r="J29" s="339">
        <v>21520</v>
      </c>
      <c r="K29" s="339" t="s">
        <v>1539</v>
      </c>
      <c r="L29" s="288" t="b">
        <f t="shared" si="1"/>
        <v>0</v>
      </c>
      <c r="M29" s="339">
        <v>709</v>
      </c>
      <c r="N29" s="339" t="s">
        <v>1505</v>
      </c>
      <c r="O29" s="339" t="s">
        <v>1506</v>
      </c>
      <c r="P29" s="339">
        <v>28445</v>
      </c>
      <c r="Q29" s="339" t="s">
        <v>1540</v>
      </c>
      <c r="R29" s="288" t="b">
        <f t="shared" si="2"/>
        <v>0</v>
      </c>
    </row>
    <row r="30" spans="1:18" x14ac:dyDescent="0.2">
      <c r="A30" s="338">
        <v>101</v>
      </c>
      <c r="B30" s="338" t="s">
        <v>964</v>
      </c>
      <c r="C30" s="338" t="s">
        <v>967</v>
      </c>
      <c r="D30" s="338">
        <v>20145</v>
      </c>
      <c r="E30" s="338" t="s">
        <v>61</v>
      </c>
      <c r="F30" s="288" t="b">
        <f t="shared" si="0"/>
        <v>0</v>
      </c>
      <c r="G30" s="339">
        <v>255</v>
      </c>
      <c r="H30" s="339" t="s">
        <v>1111</v>
      </c>
      <c r="I30" s="339" t="s">
        <v>1114</v>
      </c>
      <c r="J30" s="339">
        <v>26985</v>
      </c>
      <c r="K30" s="339" t="s">
        <v>1539</v>
      </c>
      <c r="L30" s="288" t="b">
        <f t="shared" si="1"/>
        <v>0</v>
      </c>
      <c r="M30" s="339">
        <v>407</v>
      </c>
      <c r="N30" s="339" t="s">
        <v>1330</v>
      </c>
      <c r="O30" s="339" t="s">
        <v>1331</v>
      </c>
      <c r="P30" s="339">
        <v>22900</v>
      </c>
      <c r="Q30" s="339" t="s">
        <v>1540</v>
      </c>
      <c r="R30" s="288" t="b">
        <f t="shared" si="2"/>
        <v>0</v>
      </c>
    </row>
    <row r="31" spans="1:18" x14ac:dyDescent="0.2">
      <c r="A31" s="339">
        <v>352</v>
      </c>
      <c r="B31" s="339" t="s">
        <v>1253</v>
      </c>
      <c r="C31" s="339" t="s">
        <v>1255</v>
      </c>
      <c r="D31" s="339">
        <v>22155</v>
      </c>
      <c r="E31" s="339" t="s">
        <v>61</v>
      </c>
      <c r="F31" s="288" t="b">
        <f t="shared" si="0"/>
        <v>0</v>
      </c>
      <c r="G31" s="338">
        <v>260</v>
      </c>
      <c r="H31" s="338" t="s">
        <v>1120</v>
      </c>
      <c r="I31" s="338" t="s">
        <v>1121</v>
      </c>
      <c r="J31" s="338">
        <v>21805</v>
      </c>
      <c r="K31" s="338" t="s">
        <v>1539</v>
      </c>
      <c r="L31" s="288" t="b">
        <f t="shared" si="1"/>
        <v>0</v>
      </c>
      <c r="M31" s="338">
        <v>142</v>
      </c>
      <c r="N31" s="338" t="s">
        <v>1015</v>
      </c>
      <c r="O31" s="338" t="s">
        <v>1016</v>
      </c>
      <c r="P31" s="338">
        <v>20820</v>
      </c>
      <c r="Q31" s="338" t="s">
        <v>1540</v>
      </c>
      <c r="R31" s="288" t="b">
        <f t="shared" si="2"/>
        <v>0</v>
      </c>
    </row>
    <row r="32" spans="1:18" x14ac:dyDescent="0.2">
      <c r="A32" s="339">
        <v>57</v>
      </c>
      <c r="B32" s="339" t="s">
        <v>946</v>
      </c>
      <c r="C32" s="339" t="s">
        <v>948</v>
      </c>
      <c r="D32" s="339">
        <v>20680</v>
      </c>
      <c r="E32" s="339" t="s">
        <v>61</v>
      </c>
      <c r="F32" s="288" t="b">
        <f t="shared" si="0"/>
        <v>0</v>
      </c>
      <c r="G32" s="338">
        <v>263</v>
      </c>
      <c r="H32" s="338" t="s">
        <v>1127</v>
      </c>
      <c r="I32" s="338" t="s">
        <v>1128</v>
      </c>
      <c r="J32" s="338">
        <v>27000</v>
      </c>
      <c r="K32" s="338" t="s">
        <v>1539</v>
      </c>
      <c r="L32" s="288" t="b">
        <f t="shared" si="1"/>
        <v>0</v>
      </c>
      <c r="M32" s="339">
        <v>251</v>
      </c>
      <c r="N32" s="339" t="s">
        <v>1107</v>
      </c>
      <c r="O32" s="339" t="s">
        <v>1108</v>
      </c>
      <c r="P32" s="339">
        <v>20950</v>
      </c>
      <c r="Q32" s="339" t="s">
        <v>1540</v>
      </c>
      <c r="R32" s="288" t="b">
        <f t="shared" si="2"/>
        <v>0</v>
      </c>
    </row>
    <row r="33" spans="1:18" x14ac:dyDescent="0.2">
      <c r="A33" s="339">
        <v>388</v>
      </c>
      <c r="B33" s="339" t="s">
        <v>1544</v>
      </c>
      <c r="C33" s="339" t="s">
        <v>1312</v>
      </c>
      <c r="D33" s="339">
        <v>27685</v>
      </c>
      <c r="E33" s="339" t="s">
        <v>61</v>
      </c>
      <c r="F33" s="288" t="b">
        <f t="shared" si="0"/>
        <v>0</v>
      </c>
      <c r="G33" s="339">
        <v>267</v>
      </c>
      <c r="H33" s="339" t="s">
        <v>1132</v>
      </c>
      <c r="I33" s="339" t="s">
        <v>1135</v>
      </c>
      <c r="J33" s="339">
        <v>21060</v>
      </c>
      <c r="K33" s="339" t="s">
        <v>1539</v>
      </c>
      <c r="L33" s="288" t="b">
        <f t="shared" si="1"/>
        <v>0</v>
      </c>
      <c r="M33" s="338">
        <v>255</v>
      </c>
      <c r="N33" s="338" t="s">
        <v>1111</v>
      </c>
      <c r="O33" s="338" t="s">
        <v>1112</v>
      </c>
      <c r="P33" s="338">
        <v>21675</v>
      </c>
      <c r="Q33" s="338" t="s">
        <v>1540</v>
      </c>
      <c r="R33" s="288" t="b">
        <f t="shared" si="2"/>
        <v>0</v>
      </c>
    </row>
    <row r="34" spans="1:18" x14ac:dyDescent="0.2">
      <c r="A34" s="338">
        <v>388</v>
      </c>
      <c r="B34" s="338" t="s">
        <v>1544</v>
      </c>
      <c r="C34" s="338" t="s">
        <v>1315</v>
      </c>
      <c r="D34" s="338">
        <v>20090</v>
      </c>
      <c r="E34" s="338" t="s">
        <v>61</v>
      </c>
      <c r="F34" s="288" t="b">
        <f t="shared" si="0"/>
        <v>0</v>
      </c>
      <c r="G34" s="338">
        <v>453</v>
      </c>
      <c r="H34" s="338" t="s">
        <v>1375</v>
      </c>
      <c r="I34" s="338" t="s">
        <v>1378</v>
      </c>
      <c r="J34" s="338">
        <v>26525</v>
      </c>
      <c r="K34" s="338" t="s">
        <v>1539</v>
      </c>
      <c r="L34" s="288" t="b">
        <f t="shared" si="1"/>
        <v>0</v>
      </c>
      <c r="M34" s="339">
        <v>260</v>
      </c>
      <c r="N34" s="339" t="s">
        <v>1120</v>
      </c>
      <c r="O34" s="339" t="s">
        <v>1122</v>
      </c>
      <c r="P34" s="339">
        <v>21810</v>
      </c>
      <c r="Q34" s="339" t="s">
        <v>1540</v>
      </c>
      <c r="R34" s="288" t="b">
        <f t="shared" si="2"/>
        <v>0</v>
      </c>
    </row>
    <row r="35" spans="1:18" x14ac:dyDescent="0.2">
      <c r="A35" s="338">
        <v>371</v>
      </c>
      <c r="B35" s="338" t="s">
        <v>1286</v>
      </c>
      <c r="C35" s="338" t="s">
        <v>1299</v>
      </c>
      <c r="D35" s="338">
        <v>21925</v>
      </c>
      <c r="E35" s="338" t="s">
        <v>61</v>
      </c>
      <c r="F35" s="288" t="b">
        <f t="shared" si="0"/>
        <v>0</v>
      </c>
      <c r="G35" s="338">
        <v>274</v>
      </c>
      <c r="H35" s="338" t="s">
        <v>1145</v>
      </c>
      <c r="I35" s="338" t="s">
        <v>1149</v>
      </c>
      <c r="J35" s="338">
        <v>22280</v>
      </c>
      <c r="K35" s="338" t="s">
        <v>1539</v>
      </c>
      <c r="L35" s="288" t="b">
        <f t="shared" si="1"/>
        <v>0</v>
      </c>
      <c r="M35" s="338">
        <v>263</v>
      </c>
      <c r="N35" s="338" t="s">
        <v>1127</v>
      </c>
      <c r="O35" s="338" t="s">
        <v>1130</v>
      </c>
      <c r="P35" s="338">
        <v>20970</v>
      </c>
      <c r="Q35" s="338" t="s">
        <v>1540</v>
      </c>
      <c r="R35" s="288" t="b">
        <f t="shared" si="2"/>
        <v>0</v>
      </c>
    </row>
    <row r="36" spans="1:18" x14ac:dyDescent="0.2">
      <c r="A36" s="338">
        <v>111</v>
      </c>
      <c r="B36" s="338" t="s">
        <v>970</v>
      </c>
      <c r="C36" s="338" t="s">
        <v>974</v>
      </c>
      <c r="D36" s="338">
        <v>20260</v>
      </c>
      <c r="E36" s="338" t="s">
        <v>61</v>
      </c>
      <c r="F36" s="288" t="b">
        <f t="shared" si="0"/>
        <v>0</v>
      </c>
      <c r="G36" s="339">
        <v>276</v>
      </c>
      <c r="H36" s="339" t="s">
        <v>1152</v>
      </c>
      <c r="I36" s="339" t="s">
        <v>1158</v>
      </c>
      <c r="J36" s="339">
        <v>26535</v>
      </c>
      <c r="K36" s="339" t="s">
        <v>1539</v>
      </c>
      <c r="L36" s="288" t="b">
        <f t="shared" si="1"/>
        <v>0</v>
      </c>
      <c r="M36" s="338">
        <v>269</v>
      </c>
      <c r="N36" s="338" t="s">
        <v>1138</v>
      </c>
      <c r="O36" s="338" t="s">
        <v>1141</v>
      </c>
      <c r="P36" s="338">
        <v>20035</v>
      </c>
      <c r="Q36" s="338" t="s">
        <v>1540</v>
      </c>
      <c r="R36" s="288" t="b">
        <f t="shared" si="2"/>
        <v>0</v>
      </c>
    </row>
    <row r="37" spans="1:18" x14ac:dyDescent="0.2">
      <c r="A37" s="339">
        <v>75</v>
      </c>
      <c r="B37" s="339" t="s">
        <v>954</v>
      </c>
      <c r="C37" s="339" t="s">
        <v>955</v>
      </c>
      <c r="D37" s="339">
        <v>22335</v>
      </c>
      <c r="E37" s="339" t="s">
        <v>61</v>
      </c>
      <c r="F37" s="288" t="b">
        <f t="shared" si="0"/>
        <v>0</v>
      </c>
      <c r="G37" s="338">
        <v>279</v>
      </c>
      <c r="H37" s="338" t="s">
        <v>1159</v>
      </c>
      <c r="I37" s="338" t="s">
        <v>1162</v>
      </c>
      <c r="J37" s="338">
        <v>21185</v>
      </c>
      <c r="K37" s="338" t="s">
        <v>1539</v>
      </c>
      <c r="L37" s="288" t="b">
        <f t="shared" si="1"/>
        <v>0</v>
      </c>
      <c r="M37" s="338">
        <v>275</v>
      </c>
      <c r="N37" s="338" t="s">
        <v>1150</v>
      </c>
      <c r="O37" s="338" t="s">
        <v>1151</v>
      </c>
      <c r="P37" s="338">
        <v>26380</v>
      </c>
      <c r="Q37" s="338" t="s">
        <v>1540</v>
      </c>
      <c r="R37" s="288" t="b">
        <f t="shared" si="2"/>
        <v>0</v>
      </c>
    </row>
    <row r="38" spans="1:18" x14ac:dyDescent="0.2">
      <c r="A38" s="339">
        <v>343</v>
      </c>
      <c r="B38" s="339" t="s">
        <v>1239</v>
      </c>
      <c r="C38" s="339" t="s">
        <v>1241</v>
      </c>
      <c r="D38" s="339">
        <v>21315</v>
      </c>
      <c r="E38" s="339" t="s">
        <v>61</v>
      </c>
      <c r="F38" s="288" t="b">
        <f t="shared" si="0"/>
        <v>0</v>
      </c>
      <c r="G38" s="339">
        <v>208</v>
      </c>
      <c r="H38" s="339" t="s">
        <v>1074</v>
      </c>
      <c r="I38" s="339" t="s">
        <v>1081</v>
      </c>
      <c r="J38" s="339">
        <v>22440</v>
      </c>
      <c r="K38" s="339" t="s">
        <v>1539</v>
      </c>
      <c r="L38" s="288" t="b">
        <f t="shared" si="1"/>
        <v>0</v>
      </c>
      <c r="M38" s="339">
        <v>276</v>
      </c>
      <c r="N38" s="339" t="s">
        <v>1152</v>
      </c>
      <c r="O38" s="339" t="s">
        <v>1154</v>
      </c>
      <c r="P38" s="339">
        <v>22015</v>
      </c>
      <c r="Q38" s="339" t="s">
        <v>1540</v>
      </c>
      <c r="R38" s="288" t="b">
        <f t="shared" si="2"/>
        <v>0</v>
      </c>
    </row>
    <row r="39" spans="1:18" x14ac:dyDescent="0.2">
      <c r="A39" s="338">
        <v>486</v>
      </c>
      <c r="B39" s="338" t="s">
        <v>1413</v>
      </c>
      <c r="C39" s="338" t="s">
        <v>1414</v>
      </c>
      <c r="D39" s="338">
        <v>22165</v>
      </c>
      <c r="E39" s="338" t="s">
        <v>61</v>
      </c>
      <c r="F39" s="288" t="b">
        <f t="shared" si="0"/>
        <v>0</v>
      </c>
      <c r="G39" s="339">
        <v>708</v>
      </c>
      <c r="H39" s="339" t="s">
        <v>1502</v>
      </c>
      <c r="I39" s="339" t="s">
        <v>1503</v>
      </c>
      <c r="J39" s="339">
        <v>29191</v>
      </c>
      <c r="K39" s="339" t="s">
        <v>1539</v>
      </c>
      <c r="L39" s="288" t="b">
        <f t="shared" si="1"/>
        <v>0</v>
      </c>
      <c r="M39" s="338">
        <v>279</v>
      </c>
      <c r="N39" s="338" t="s">
        <v>1159</v>
      </c>
      <c r="O39" s="338" t="s">
        <v>1164</v>
      </c>
      <c r="P39" s="338">
        <v>21195</v>
      </c>
      <c r="Q39" s="338" t="s">
        <v>1540</v>
      </c>
      <c r="R39" s="288" t="b">
        <f t="shared" si="2"/>
        <v>0</v>
      </c>
    </row>
    <row r="40" spans="1:18" x14ac:dyDescent="0.2">
      <c r="A40" s="339">
        <v>71</v>
      </c>
      <c r="B40" s="339" t="s">
        <v>951</v>
      </c>
      <c r="C40" s="339" t="s">
        <v>952</v>
      </c>
      <c r="D40" s="339">
        <v>27765</v>
      </c>
      <c r="E40" s="339" t="s">
        <v>61</v>
      </c>
      <c r="F40" s="288" t="b">
        <f t="shared" si="0"/>
        <v>0</v>
      </c>
      <c r="G40" s="339">
        <v>285</v>
      </c>
      <c r="H40" s="339" t="s">
        <v>1168</v>
      </c>
      <c r="I40" s="339" t="s">
        <v>1171</v>
      </c>
      <c r="J40" s="339">
        <v>21275</v>
      </c>
      <c r="K40" s="339" t="s">
        <v>1539</v>
      </c>
      <c r="L40" s="288" t="b">
        <f t="shared" si="1"/>
        <v>0</v>
      </c>
      <c r="M40" s="338">
        <v>113</v>
      </c>
      <c r="N40" s="338" t="s">
        <v>990</v>
      </c>
      <c r="O40" s="338" t="s">
        <v>994</v>
      </c>
      <c r="P40" s="338">
        <v>20345</v>
      </c>
      <c r="Q40" s="338" t="s">
        <v>1540</v>
      </c>
      <c r="R40" s="288" t="b">
        <f t="shared" si="2"/>
        <v>0</v>
      </c>
    </row>
    <row r="41" spans="1:18" x14ac:dyDescent="0.2">
      <c r="A41" s="339">
        <v>208</v>
      </c>
      <c r="B41" s="339" t="s">
        <v>1074</v>
      </c>
      <c r="C41" s="339" t="s">
        <v>1080</v>
      </c>
      <c r="D41" s="339">
        <v>22430</v>
      </c>
      <c r="E41" s="339" t="s">
        <v>61</v>
      </c>
      <c r="F41" s="288" t="b">
        <f t="shared" si="0"/>
        <v>0</v>
      </c>
      <c r="G41" s="338">
        <v>295</v>
      </c>
      <c r="H41" s="338" t="s">
        <v>1178</v>
      </c>
      <c r="I41" s="338" t="s">
        <v>1182</v>
      </c>
      <c r="J41" s="338">
        <v>21370</v>
      </c>
      <c r="K41" s="338" t="s">
        <v>1539</v>
      </c>
      <c r="L41" s="288" t="b">
        <f t="shared" si="1"/>
        <v>0</v>
      </c>
      <c r="M41" s="339">
        <v>208</v>
      </c>
      <c r="N41" s="339" t="s">
        <v>1074</v>
      </c>
      <c r="O41" s="339" t="s">
        <v>1079</v>
      </c>
      <c r="P41" s="339">
        <v>22425</v>
      </c>
      <c r="Q41" s="339" t="s">
        <v>1540</v>
      </c>
      <c r="R41" s="288" t="b">
        <f t="shared" si="2"/>
        <v>0</v>
      </c>
    </row>
    <row r="42" spans="1:18" x14ac:dyDescent="0.2">
      <c r="A42" s="339">
        <v>555</v>
      </c>
      <c r="B42" s="339" t="s">
        <v>1464</v>
      </c>
      <c r="C42" s="339" t="s">
        <v>1465</v>
      </c>
      <c r="D42" s="339">
        <v>26810</v>
      </c>
      <c r="E42" s="339" t="s">
        <v>61</v>
      </c>
      <c r="F42" s="288" t="b">
        <f t="shared" si="0"/>
        <v>0</v>
      </c>
      <c r="G42" s="339">
        <v>305</v>
      </c>
      <c r="H42" s="339" t="s">
        <v>1185</v>
      </c>
      <c r="I42" s="339" t="s">
        <v>1186</v>
      </c>
      <c r="J42" s="339">
        <v>23105</v>
      </c>
      <c r="K42" s="339" t="s">
        <v>1539</v>
      </c>
      <c r="L42" s="288" t="b">
        <f t="shared" si="1"/>
        <v>0</v>
      </c>
      <c r="M42" s="338">
        <v>708</v>
      </c>
      <c r="N42" s="338" t="s">
        <v>1502</v>
      </c>
      <c r="O42" s="338" t="s">
        <v>1504</v>
      </c>
      <c r="P42" s="338">
        <v>29192</v>
      </c>
      <c r="Q42" s="338" t="s">
        <v>1540</v>
      </c>
      <c r="R42" s="288" t="b">
        <f t="shared" si="2"/>
        <v>0</v>
      </c>
    </row>
    <row r="43" spans="1:18" x14ac:dyDescent="0.2">
      <c r="A43" s="338">
        <v>461</v>
      </c>
      <c r="B43" s="338" t="s">
        <v>1379</v>
      </c>
      <c r="C43" s="338" t="s">
        <v>1385</v>
      </c>
      <c r="D43" s="338">
        <v>22695</v>
      </c>
      <c r="E43" s="338" t="s">
        <v>61</v>
      </c>
      <c r="F43" s="288" t="b">
        <f t="shared" si="0"/>
        <v>0</v>
      </c>
      <c r="G43" s="338">
        <v>306</v>
      </c>
      <c r="H43" s="338" t="s">
        <v>1189</v>
      </c>
      <c r="I43" s="338" t="s">
        <v>1191</v>
      </c>
      <c r="J43" s="338">
        <v>23095</v>
      </c>
      <c r="K43" s="338" t="s">
        <v>1539</v>
      </c>
      <c r="L43" s="288" t="b">
        <f t="shared" si="1"/>
        <v>0</v>
      </c>
      <c r="M43" s="339">
        <v>285</v>
      </c>
      <c r="N43" s="339" t="s">
        <v>1168</v>
      </c>
      <c r="O43" s="339" t="s">
        <v>1169</v>
      </c>
      <c r="P43" s="339">
        <v>21255</v>
      </c>
      <c r="Q43" s="339" t="s">
        <v>1540</v>
      </c>
      <c r="R43" s="288" t="b">
        <f t="shared" si="2"/>
        <v>0</v>
      </c>
    </row>
    <row r="44" spans="1:18" x14ac:dyDescent="0.2">
      <c r="A44" s="339">
        <v>174</v>
      </c>
      <c r="B44" s="339" t="s">
        <v>1035</v>
      </c>
      <c r="C44" s="339" t="s">
        <v>1039</v>
      </c>
      <c r="D44" s="339">
        <v>22975</v>
      </c>
      <c r="E44" s="339" t="s">
        <v>61</v>
      </c>
      <c r="F44" s="288" t="b">
        <f t="shared" si="0"/>
        <v>0</v>
      </c>
      <c r="G44" s="339">
        <v>315</v>
      </c>
      <c r="H44" s="339" t="s">
        <v>1193</v>
      </c>
      <c r="I44" s="339" t="s">
        <v>1196</v>
      </c>
      <c r="J44" s="339">
        <v>26640</v>
      </c>
      <c r="K44" s="339" t="s">
        <v>1539</v>
      </c>
      <c r="L44" s="288" t="b">
        <f t="shared" si="1"/>
        <v>0</v>
      </c>
      <c r="M44" s="338">
        <v>706</v>
      </c>
      <c r="N44" s="338" t="s">
        <v>1500</v>
      </c>
      <c r="O44" s="338" t="s">
        <v>1500</v>
      </c>
      <c r="P44" s="338">
        <v>29189</v>
      </c>
      <c r="Q44" s="338" t="s">
        <v>1540</v>
      </c>
      <c r="R44" s="288" t="b">
        <f t="shared" si="2"/>
        <v>0</v>
      </c>
    </row>
    <row r="45" spans="1:18" x14ac:dyDescent="0.2">
      <c r="A45" s="338">
        <v>174</v>
      </c>
      <c r="B45" s="338" t="s">
        <v>1035</v>
      </c>
      <c r="C45" s="338" t="s">
        <v>1041</v>
      </c>
      <c r="D45" s="338">
        <v>22985</v>
      </c>
      <c r="E45" s="338" t="s">
        <v>61</v>
      </c>
      <c r="F45" s="288" t="b">
        <f t="shared" si="0"/>
        <v>0</v>
      </c>
      <c r="G45" s="339">
        <v>319</v>
      </c>
      <c r="H45" s="339" t="s">
        <v>1201</v>
      </c>
      <c r="I45" s="339" t="s">
        <v>1205</v>
      </c>
      <c r="J45" s="339">
        <v>20480</v>
      </c>
      <c r="K45" s="339" t="s">
        <v>1539</v>
      </c>
      <c r="L45" s="288" t="b">
        <f t="shared" si="1"/>
        <v>0</v>
      </c>
      <c r="M45" s="338">
        <v>295</v>
      </c>
      <c r="N45" s="338" t="s">
        <v>1178</v>
      </c>
      <c r="O45" s="338" t="s">
        <v>1181</v>
      </c>
      <c r="P45" s="338">
        <v>21360</v>
      </c>
      <c r="Q45" s="338" t="s">
        <v>1540</v>
      </c>
      <c r="R45" s="288" t="b">
        <f t="shared" si="2"/>
        <v>0</v>
      </c>
    </row>
    <row r="46" spans="1:18" x14ac:dyDescent="0.2">
      <c r="A46" s="339">
        <v>371</v>
      </c>
      <c r="B46" s="339" t="s">
        <v>1286</v>
      </c>
      <c r="C46" s="339" t="s">
        <v>1300</v>
      </c>
      <c r="D46" s="339">
        <v>21930</v>
      </c>
      <c r="E46" s="339" t="s">
        <v>61</v>
      </c>
      <c r="F46" s="288" t="b">
        <f t="shared" si="0"/>
        <v>0</v>
      </c>
      <c r="G46" s="338">
        <v>733</v>
      </c>
      <c r="H46" s="338" t="s">
        <v>1522</v>
      </c>
      <c r="I46" s="338" t="s">
        <v>1523</v>
      </c>
      <c r="J46" s="338">
        <v>29100</v>
      </c>
      <c r="K46" s="338" t="s">
        <v>1539</v>
      </c>
      <c r="L46" s="288" t="b">
        <f t="shared" si="1"/>
        <v>0</v>
      </c>
      <c r="M46" s="339">
        <v>719</v>
      </c>
      <c r="N46" s="339" t="s">
        <v>1510</v>
      </c>
      <c r="O46" s="339" t="s">
        <v>1510</v>
      </c>
      <c r="P46" s="339">
        <v>28565</v>
      </c>
      <c r="Q46" s="339" t="s">
        <v>1540</v>
      </c>
      <c r="R46" s="288" t="b">
        <f t="shared" si="2"/>
        <v>0</v>
      </c>
    </row>
    <row r="47" spans="1:18" x14ac:dyDescent="0.2">
      <c r="A47" s="339">
        <v>93</v>
      </c>
      <c r="B47" s="339" t="s">
        <v>958</v>
      </c>
      <c r="C47" s="339" t="s">
        <v>959</v>
      </c>
      <c r="D47" s="339">
        <v>20500</v>
      </c>
      <c r="E47" s="339" t="s">
        <v>61</v>
      </c>
      <c r="F47" s="288" t="b">
        <f t="shared" si="0"/>
        <v>0</v>
      </c>
      <c r="G47" s="339">
        <v>351</v>
      </c>
      <c r="H47" s="339" t="s">
        <v>1246</v>
      </c>
      <c r="I47" s="339" t="s">
        <v>1247</v>
      </c>
      <c r="J47" s="339">
        <v>28375</v>
      </c>
      <c r="K47" s="339" t="s">
        <v>1539</v>
      </c>
      <c r="L47" s="288" t="b">
        <f t="shared" si="1"/>
        <v>0</v>
      </c>
      <c r="M47" s="339">
        <v>305</v>
      </c>
      <c r="N47" s="339" t="s">
        <v>1185</v>
      </c>
      <c r="O47" s="339" t="s">
        <v>1187</v>
      </c>
      <c r="P47" s="339">
        <v>23110</v>
      </c>
      <c r="Q47" s="339" t="s">
        <v>1540</v>
      </c>
      <c r="R47" s="288" t="b">
        <f t="shared" si="2"/>
        <v>0</v>
      </c>
    </row>
    <row r="48" spans="1:18" x14ac:dyDescent="0.2">
      <c r="A48" s="338">
        <v>95</v>
      </c>
      <c r="B48" s="338" t="s">
        <v>960</v>
      </c>
      <c r="C48" s="338" t="s">
        <v>961</v>
      </c>
      <c r="D48" s="338">
        <v>21140</v>
      </c>
      <c r="E48" s="338" t="s">
        <v>61</v>
      </c>
      <c r="F48" s="288" t="b">
        <f t="shared" si="0"/>
        <v>0</v>
      </c>
      <c r="G48" s="338">
        <v>352</v>
      </c>
      <c r="H48" s="338" t="s">
        <v>1253</v>
      </c>
      <c r="I48" s="338" t="s">
        <v>1254</v>
      </c>
      <c r="J48" s="338">
        <v>26585</v>
      </c>
      <c r="K48" s="338" t="s">
        <v>1539</v>
      </c>
      <c r="L48" s="288" t="b">
        <f t="shared" si="1"/>
        <v>0</v>
      </c>
      <c r="M48" s="338">
        <v>306</v>
      </c>
      <c r="N48" s="338" t="s">
        <v>1189</v>
      </c>
      <c r="O48" s="338" t="s">
        <v>1192</v>
      </c>
      <c r="P48" s="338">
        <v>23100</v>
      </c>
      <c r="Q48" s="338" t="s">
        <v>1540</v>
      </c>
      <c r="R48" s="288" t="b">
        <f t="shared" si="2"/>
        <v>0</v>
      </c>
    </row>
    <row r="49" spans="1:18" x14ac:dyDescent="0.2">
      <c r="A49" s="339">
        <v>99</v>
      </c>
      <c r="B49" s="339" t="s">
        <v>962</v>
      </c>
      <c r="C49" s="339" t="s">
        <v>963</v>
      </c>
      <c r="D49" s="339">
        <v>22590</v>
      </c>
      <c r="E49" s="339" t="s">
        <v>61</v>
      </c>
      <c r="F49" s="288" t="b">
        <f t="shared" si="0"/>
        <v>0</v>
      </c>
      <c r="G49" s="338">
        <v>335</v>
      </c>
      <c r="H49" s="338" t="s">
        <v>906</v>
      </c>
      <c r="I49" s="338" t="s">
        <v>1215</v>
      </c>
      <c r="J49" s="338">
        <v>21525</v>
      </c>
      <c r="K49" s="338" t="s">
        <v>1539</v>
      </c>
      <c r="L49" s="288" t="b">
        <f t="shared" si="1"/>
        <v>0</v>
      </c>
      <c r="M49" s="338">
        <v>317</v>
      </c>
      <c r="N49" s="338" t="s">
        <v>1197</v>
      </c>
      <c r="O49" s="338" t="s">
        <v>1199</v>
      </c>
      <c r="P49" s="338">
        <v>21445</v>
      </c>
      <c r="Q49" s="338" t="s">
        <v>1540</v>
      </c>
      <c r="R49" s="288" t="b">
        <f t="shared" si="2"/>
        <v>0</v>
      </c>
    </row>
    <row r="50" spans="1:18" x14ac:dyDescent="0.2">
      <c r="A50" s="339">
        <v>111</v>
      </c>
      <c r="B50" s="339" t="s">
        <v>970</v>
      </c>
      <c r="C50" s="339" t="s">
        <v>977</v>
      </c>
      <c r="D50" s="339">
        <v>20305</v>
      </c>
      <c r="E50" s="339" t="s">
        <v>61</v>
      </c>
      <c r="F50" s="288" t="b">
        <f t="shared" si="0"/>
        <v>0</v>
      </c>
      <c r="G50" s="339">
        <v>357</v>
      </c>
      <c r="H50" s="339" t="s">
        <v>1265</v>
      </c>
      <c r="I50" s="339" t="s">
        <v>1266</v>
      </c>
      <c r="J50" s="339">
        <v>21760</v>
      </c>
      <c r="K50" s="339" t="s">
        <v>1539</v>
      </c>
      <c r="L50" s="288" t="b">
        <f t="shared" si="1"/>
        <v>0</v>
      </c>
      <c r="M50" s="339">
        <v>319</v>
      </c>
      <c r="N50" s="339" t="s">
        <v>1201</v>
      </c>
      <c r="O50" s="339" t="s">
        <v>1207</v>
      </c>
      <c r="P50" s="339">
        <v>20490</v>
      </c>
      <c r="Q50" s="339" t="s">
        <v>1540</v>
      </c>
      <c r="R50" s="288" t="b">
        <f t="shared" si="2"/>
        <v>0</v>
      </c>
    </row>
    <row r="51" spans="1:18" x14ac:dyDescent="0.2">
      <c r="A51" s="339">
        <v>101</v>
      </c>
      <c r="B51" s="339" t="s">
        <v>964</v>
      </c>
      <c r="C51" s="339" t="s">
        <v>1560</v>
      </c>
      <c r="D51" s="339">
        <v>29184</v>
      </c>
      <c r="E51" s="339" t="s">
        <v>1561</v>
      </c>
      <c r="F51" s="288" t="b">
        <f t="shared" si="0"/>
        <v>0</v>
      </c>
      <c r="G51" s="339">
        <v>363</v>
      </c>
      <c r="H51" s="339" t="s">
        <v>1274</v>
      </c>
      <c r="I51" s="339" t="s">
        <v>1275</v>
      </c>
      <c r="J51" s="339">
        <v>26980</v>
      </c>
      <c r="K51" s="339" t="s">
        <v>1539</v>
      </c>
      <c r="L51" s="288" t="b">
        <f t="shared" si="1"/>
        <v>0</v>
      </c>
      <c r="M51" s="338">
        <v>733</v>
      </c>
      <c r="N51" s="338" t="s">
        <v>1522</v>
      </c>
      <c r="O51" s="338" t="s">
        <v>1525</v>
      </c>
      <c r="P51" s="338">
        <v>29160</v>
      </c>
      <c r="Q51" s="338" t="s">
        <v>1540</v>
      </c>
      <c r="R51" s="288" t="b">
        <f t="shared" si="2"/>
        <v>0</v>
      </c>
    </row>
    <row r="52" spans="1:18" x14ac:dyDescent="0.2">
      <c r="A52" s="338">
        <v>17</v>
      </c>
      <c r="B52" s="338" t="s">
        <v>916</v>
      </c>
      <c r="C52" s="338" t="s">
        <v>918</v>
      </c>
      <c r="D52" s="338">
        <v>21750</v>
      </c>
      <c r="E52" s="338" t="s">
        <v>61</v>
      </c>
      <c r="F52" s="288" t="b">
        <f t="shared" si="0"/>
        <v>0</v>
      </c>
      <c r="G52" s="338">
        <v>369</v>
      </c>
      <c r="H52" s="338" t="s">
        <v>1283</v>
      </c>
      <c r="I52" s="338" t="s">
        <v>1616</v>
      </c>
      <c r="J52" s="338">
        <v>26960</v>
      </c>
      <c r="K52" s="338" t="s">
        <v>1539</v>
      </c>
      <c r="L52" s="288" t="b">
        <f t="shared" si="1"/>
        <v>0</v>
      </c>
      <c r="M52" s="339">
        <v>733</v>
      </c>
      <c r="N52" s="339" t="s">
        <v>1522</v>
      </c>
      <c r="O52" s="339" t="s">
        <v>1524</v>
      </c>
      <c r="P52" s="339">
        <v>29060</v>
      </c>
      <c r="Q52" s="339" t="s">
        <v>1540</v>
      </c>
      <c r="R52" s="288" t="b">
        <f t="shared" si="2"/>
        <v>0</v>
      </c>
    </row>
    <row r="53" spans="1:18" x14ac:dyDescent="0.2">
      <c r="A53" s="339">
        <v>105</v>
      </c>
      <c r="B53" s="339" t="s">
        <v>969</v>
      </c>
      <c r="C53" s="339" t="s">
        <v>1606</v>
      </c>
      <c r="D53" s="339">
        <v>20195</v>
      </c>
      <c r="E53" s="339" t="s">
        <v>61</v>
      </c>
      <c r="F53" s="288" t="b">
        <f t="shared" si="0"/>
        <v>0</v>
      </c>
      <c r="G53" s="339">
        <v>199</v>
      </c>
      <c r="H53" s="339" t="s">
        <v>1065</v>
      </c>
      <c r="I53" s="339" t="s">
        <v>1066</v>
      </c>
      <c r="J53" s="339">
        <v>26820</v>
      </c>
      <c r="K53" s="339" t="s">
        <v>1539</v>
      </c>
      <c r="L53" s="288" t="b">
        <f t="shared" si="1"/>
        <v>0</v>
      </c>
      <c r="M53" s="338">
        <v>335</v>
      </c>
      <c r="N53" s="338" t="s">
        <v>906</v>
      </c>
      <c r="O53" s="338" t="s">
        <v>1213</v>
      </c>
      <c r="P53" s="338">
        <v>21510</v>
      </c>
      <c r="Q53" s="338" t="s">
        <v>1540</v>
      </c>
      <c r="R53" s="288" t="b">
        <f t="shared" si="2"/>
        <v>0</v>
      </c>
    </row>
    <row r="54" spans="1:18" x14ac:dyDescent="0.2">
      <c r="A54" s="339">
        <v>743</v>
      </c>
      <c r="B54" s="339" t="s">
        <v>1534</v>
      </c>
      <c r="C54" s="339" t="s">
        <v>1607</v>
      </c>
      <c r="D54" s="339">
        <v>29166</v>
      </c>
      <c r="E54" s="339" t="s">
        <v>61</v>
      </c>
      <c r="F54" s="288" t="b">
        <f t="shared" si="0"/>
        <v>0</v>
      </c>
      <c r="G54" s="338">
        <v>388</v>
      </c>
      <c r="H54" s="338" t="s">
        <v>1544</v>
      </c>
      <c r="I54" s="338" t="s">
        <v>1313</v>
      </c>
      <c r="J54" s="338">
        <v>26680</v>
      </c>
      <c r="K54" s="338" t="s">
        <v>1539</v>
      </c>
      <c r="L54" s="288" t="b">
        <f t="shared" si="1"/>
        <v>0</v>
      </c>
      <c r="M54" s="339">
        <v>335</v>
      </c>
      <c r="N54" s="339" t="s">
        <v>906</v>
      </c>
      <c r="O54" s="339" t="s">
        <v>1212</v>
      </c>
      <c r="P54" s="339">
        <v>21505</v>
      </c>
      <c r="Q54" s="339" t="s">
        <v>1540</v>
      </c>
      <c r="R54" s="288" t="b">
        <f t="shared" si="2"/>
        <v>0</v>
      </c>
    </row>
    <row r="55" spans="1:18" x14ac:dyDescent="0.2">
      <c r="A55" s="339">
        <v>113</v>
      </c>
      <c r="B55" s="339" t="s">
        <v>990</v>
      </c>
      <c r="C55" s="339" t="s">
        <v>993</v>
      </c>
      <c r="D55" s="339">
        <v>20340</v>
      </c>
      <c r="E55" s="339" t="s">
        <v>61</v>
      </c>
      <c r="F55" s="288" t="b">
        <f t="shared" si="0"/>
        <v>0</v>
      </c>
      <c r="G55" s="339">
        <v>401</v>
      </c>
      <c r="H55" s="339" t="s">
        <v>1324</v>
      </c>
      <c r="I55" s="339" t="s">
        <v>1325</v>
      </c>
      <c r="J55" s="339">
        <v>26970</v>
      </c>
      <c r="K55" s="339" t="s">
        <v>1539</v>
      </c>
      <c r="L55" s="288" t="b">
        <f t="shared" si="1"/>
        <v>0</v>
      </c>
      <c r="M55" s="338">
        <v>335</v>
      </c>
      <c r="N55" s="338" t="s">
        <v>906</v>
      </c>
      <c r="O55" s="338" t="s">
        <v>1230</v>
      </c>
      <c r="P55" s="338">
        <v>29085</v>
      </c>
      <c r="Q55" s="338" t="s">
        <v>1540</v>
      </c>
      <c r="R55" s="288" t="b">
        <f t="shared" si="2"/>
        <v>0</v>
      </c>
    </row>
    <row r="56" spans="1:18" x14ac:dyDescent="0.2">
      <c r="A56" s="338">
        <v>115</v>
      </c>
      <c r="B56" s="338" t="s">
        <v>995</v>
      </c>
      <c r="C56" s="338" t="s">
        <v>996</v>
      </c>
      <c r="D56" s="338">
        <v>20175</v>
      </c>
      <c r="E56" s="338" t="s">
        <v>61</v>
      </c>
      <c r="F56" s="288" t="b">
        <f t="shared" si="0"/>
        <v>0</v>
      </c>
      <c r="G56" s="338">
        <v>703</v>
      </c>
      <c r="H56" s="338" t="s">
        <v>1495</v>
      </c>
      <c r="I56" s="338" t="s">
        <v>1496</v>
      </c>
      <c r="J56" s="338">
        <v>28505</v>
      </c>
      <c r="K56" s="338" t="s">
        <v>1539</v>
      </c>
      <c r="L56" s="288" t="b">
        <f t="shared" si="1"/>
        <v>0</v>
      </c>
      <c r="M56" s="339">
        <v>335</v>
      </c>
      <c r="N56" s="339" t="s">
        <v>906</v>
      </c>
      <c r="O56" s="339" t="s">
        <v>1219</v>
      </c>
      <c r="P56" s="339">
        <v>21555</v>
      </c>
      <c r="Q56" s="339" t="s">
        <v>1540</v>
      </c>
      <c r="R56" s="288" t="b">
        <f t="shared" si="2"/>
        <v>0</v>
      </c>
    </row>
    <row r="57" spans="1:18" x14ac:dyDescent="0.2">
      <c r="A57" s="338">
        <v>208</v>
      </c>
      <c r="B57" s="338" t="s">
        <v>1074</v>
      </c>
      <c r="C57" s="338" t="s">
        <v>1082</v>
      </c>
      <c r="D57" s="338">
        <v>27515</v>
      </c>
      <c r="E57" s="338" t="s">
        <v>61</v>
      </c>
      <c r="F57" s="288" t="b">
        <f t="shared" si="0"/>
        <v>0</v>
      </c>
      <c r="G57" s="338">
        <v>359</v>
      </c>
      <c r="H57" s="338" t="s">
        <v>1270</v>
      </c>
      <c r="I57" s="338" t="s">
        <v>1271</v>
      </c>
      <c r="J57" s="338">
        <v>26540</v>
      </c>
      <c r="K57" s="338" t="s">
        <v>1539</v>
      </c>
      <c r="L57" s="288" t="b">
        <f t="shared" si="1"/>
        <v>0</v>
      </c>
      <c r="M57" s="338">
        <v>342</v>
      </c>
      <c r="N57" s="338" t="s">
        <v>1235</v>
      </c>
      <c r="O57" s="338" t="s">
        <v>1237</v>
      </c>
      <c r="P57" s="338">
        <v>23050</v>
      </c>
      <c r="Q57" s="338" t="s">
        <v>1540</v>
      </c>
      <c r="R57" s="288" t="b">
        <f t="shared" si="2"/>
        <v>0</v>
      </c>
    </row>
    <row r="58" spans="1:18" x14ac:dyDescent="0.2">
      <c r="A58" s="339">
        <v>117</v>
      </c>
      <c r="B58" s="339" t="s">
        <v>997</v>
      </c>
      <c r="C58" s="339" t="s">
        <v>998</v>
      </c>
      <c r="D58" s="339">
        <v>21960</v>
      </c>
      <c r="E58" s="339" t="s">
        <v>61</v>
      </c>
      <c r="F58" s="288" t="b">
        <f t="shared" si="0"/>
        <v>0</v>
      </c>
      <c r="G58" s="338">
        <v>423</v>
      </c>
      <c r="H58" s="338" t="s">
        <v>1338</v>
      </c>
      <c r="I58" s="338" t="s">
        <v>1340</v>
      </c>
      <c r="J58" s="338">
        <v>22790</v>
      </c>
      <c r="K58" s="338" t="s">
        <v>1539</v>
      </c>
      <c r="L58" s="288" t="b">
        <f t="shared" si="1"/>
        <v>0</v>
      </c>
      <c r="M58" s="339">
        <v>343</v>
      </c>
      <c r="N58" s="339" t="s">
        <v>1239</v>
      </c>
      <c r="O58" s="339" t="s">
        <v>1240</v>
      </c>
      <c r="P58" s="339">
        <v>21305</v>
      </c>
      <c r="Q58" s="339" t="s">
        <v>1540</v>
      </c>
      <c r="R58" s="288" t="b">
        <f t="shared" si="2"/>
        <v>0</v>
      </c>
    </row>
    <row r="59" spans="1:18" x14ac:dyDescent="0.2">
      <c r="A59" s="339">
        <v>363</v>
      </c>
      <c r="B59" s="339" t="s">
        <v>1274</v>
      </c>
      <c r="C59" s="339" t="s">
        <v>1608</v>
      </c>
      <c r="D59" s="339">
        <v>21715</v>
      </c>
      <c r="E59" s="339" t="s">
        <v>61</v>
      </c>
      <c r="F59" s="288" t="b">
        <f t="shared" si="0"/>
        <v>0</v>
      </c>
      <c r="G59" s="339">
        <v>371</v>
      </c>
      <c r="H59" s="339" t="s">
        <v>1286</v>
      </c>
      <c r="I59" s="339" t="s">
        <v>1287</v>
      </c>
      <c r="J59" s="339">
        <v>21825</v>
      </c>
      <c r="K59" s="339" t="s">
        <v>1539</v>
      </c>
      <c r="L59" s="288" t="b">
        <f t="shared" si="1"/>
        <v>0</v>
      </c>
      <c r="M59" s="338">
        <v>351</v>
      </c>
      <c r="N59" s="338" t="s">
        <v>1246</v>
      </c>
      <c r="O59" s="338" t="s">
        <v>1252</v>
      </c>
      <c r="P59" s="338">
        <v>21040</v>
      </c>
      <c r="Q59" s="338" t="s">
        <v>1540</v>
      </c>
      <c r="R59" s="288" t="b">
        <f t="shared" si="2"/>
        <v>0</v>
      </c>
    </row>
    <row r="60" spans="1:18" x14ac:dyDescent="0.2">
      <c r="A60" s="339">
        <v>388</v>
      </c>
      <c r="B60" s="339" t="s">
        <v>1544</v>
      </c>
      <c r="C60" s="339" t="s">
        <v>1316</v>
      </c>
      <c r="D60" s="339">
        <v>20095</v>
      </c>
      <c r="E60" s="339" t="s">
        <v>61</v>
      </c>
      <c r="F60" s="288" t="b">
        <f t="shared" si="0"/>
        <v>0</v>
      </c>
      <c r="G60" s="339">
        <v>439</v>
      </c>
      <c r="H60" s="339" t="s">
        <v>1358</v>
      </c>
      <c r="I60" s="339" t="s">
        <v>1360</v>
      </c>
      <c r="J60" s="339">
        <v>26550</v>
      </c>
      <c r="K60" s="339" t="s">
        <v>1539</v>
      </c>
      <c r="L60" s="288" t="b">
        <f t="shared" si="1"/>
        <v>0</v>
      </c>
      <c r="M60" s="339">
        <v>352</v>
      </c>
      <c r="N60" s="339" t="s">
        <v>1253</v>
      </c>
      <c r="O60" s="339" t="s">
        <v>1258</v>
      </c>
      <c r="P60" s="339">
        <v>22195</v>
      </c>
      <c r="Q60" s="339" t="s">
        <v>1540</v>
      </c>
      <c r="R60" s="288" t="b">
        <f t="shared" si="2"/>
        <v>0</v>
      </c>
    </row>
    <row r="61" spans="1:18" x14ac:dyDescent="0.2">
      <c r="A61" s="339">
        <v>476</v>
      </c>
      <c r="B61" s="339" t="s">
        <v>1406</v>
      </c>
      <c r="C61" s="339" t="s">
        <v>1408</v>
      </c>
      <c r="D61" s="339">
        <v>20625</v>
      </c>
      <c r="E61" s="339" t="s">
        <v>61</v>
      </c>
      <c r="F61" s="288" t="b">
        <f t="shared" si="0"/>
        <v>0</v>
      </c>
      <c r="G61" s="338">
        <v>449</v>
      </c>
      <c r="H61" s="338" t="s">
        <v>1366</v>
      </c>
      <c r="I61" s="338" t="s">
        <v>1367</v>
      </c>
      <c r="J61" s="338">
        <v>22510</v>
      </c>
      <c r="K61" s="338" t="s">
        <v>1539</v>
      </c>
      <c r="L61" s="288" t="b">
        <f t="shared" si="1"/>
        <v>0</v>
      </c>
      <c r="M61" s="338">
        <v>357</v>
      </c>
      <c r="N61" s="338" t="s">
        <v>1265</v>
      </c>
      <c r="O61" s="338" t="s">
        <v>1267</v>
      </c>
      <c r="P61" s="338">
        <v>21765</v>
      </c>
      <c r="Q61" s="338" t="s">
        <v>1540</v>
      </c>
      <c r="R61" s="288" t="b">
        <f t="shared" si="2"/>
        <v>0</v>
      </c>
    </row>
    <row r="62" spans="1:18" x14ac:dyDescent="0.2">
      <c r="A62" s="338">
        <v>534</v>
      </c>
      <c r="B62" s="338" t="s">
        <v>1446</v>
      </c>
      <c r="C62" s="338" t="s">
        <v>1449</v>
      </c>
      <c r="D62" s="338">
        <v>22745</v>
      </c>
      <c r="E62" s="338" t="s">
        <v>61</v>
      </c>
      <c r="F62" s="288" t="b">
        <f t="shared" si="0"/>
        <v>0</v>
      </c>
      <c r="G62" s="339">
        <v>450</v>
      </c>
      <c r="H62" s="339" t="s">
        <v>1372</v>
      </c>
      <c r="I62" s="339" t="s">
        <v>1374</v>
      </c>
      <c r="J62" s="339">
        <v>26990</v>
      </c>
      <c r="K62" s="339" t="s">
        <v>1539</v>
      </c>
      <c r="L62" s="288" t="b">
        <f t="shared" si="1"/>
        <v>0</v>
      </c>
      <c r="M62" s="338">
        <v>363</v>
      </c>
      <c r="N62" s="338" t="s">
        <v>1274</v>
      </c>
      <c r="O62" s="338" t="s">
        <v>1276</v>
      </c>
      <c r="P62" s="338">
        <v>21700</v>
      </c>
      <c r="Q62" s="338" t="s">
        <v>1540</v>
      </c>
      <c r="R62" s="288" t="b">
        <f t="shared" si="2"/>
        <v>0</v>
      </c>
    </row>
    <row r="63" spans="1:18" x14ac:dyDescent="0.2">
      <c r="A63" s="338">
        <v>127</v>
      </c>
      <c r="B63" s="338" t="s">
        <v>999</v>
      </c>
      <c r="C63" s="338" t="s">
        <v>1000</v>
      </c>
      <c r="D63" s="338">
        <v>22595</v>
      </c>
      <c r="E63" s="338" t="s">
        <v>61</v>
      </c>
      <c r="F63" s="288" t="b">
        <f t="shared" si="0"/>
        <v>0</v>
      </c>
      <c r="G63" s="339">
        <v>461</v>
      </c>
      <c r="H63" s="339" t="s">
        <v>1379</v>
      </c>
      <c r="I63" s="339" t="s">
        <v>1387</v>
      </c>
      <c r="J63" s="339">
        <v>22705</v>
      </c>
      <c r="K63" s="339" t="s">
        <v>1539</v>
      </c>
      <c r="L63" s="288" t="b">
        <f t="shared" si="1"/>
        <v>0</v>
      </c>
      <c r="M63" s="339">
        <v>369</v>
      </c>
      <c r="N63" s="339" t="s">
        <v>1283</v>
      </c>
      <c r="O63" s="339" t="s">
        <v>1285</v>
      </c>
      <c r="P63" s="339">
        <v>22120</v>
      </c>
      <c r="Q63" s="339" t="s">
        <v>1540</v>
      </c>
      <c r="R63" s="288" t="b">
        <f t="shared" si="2"/>
        <v>0</v>
      </c>
    </row>
    <row r="64" spans="1:18" x14ac:dyDescent="0.2">
      <c r="A64" s="338">
        <v>131</v>
      </c>
      <c r="B64" s="338" t="s">
        <v>1001</v>
      </c>
      <c r="C64" s="338" t="s">
        <v>1562</v>
      </c>
      <c r="D64" s="338">
        <v>29156</v>
      </c>
      <c r="E64" s="338" t="s">
        <v>1561</v>
      </c>
      <c r="F64" s="288" t="b">
        <f t="shared" si="0"/>
        <v>0</v>
      </c>
      <c r="G64" s="339">
        <v>41</v>
      </c>
      <c r="H64" s="339" t="s">
        <v>935</v>
      </c>
      <c r="I64" s="339" t="s">
        <v>940</v>
      </c>
      <c r="J64" s="339">
        <v>28560</v>
      </c>
      <c r="K64" s="339" t="s">
        <v>1539</v>
      </c>
      <c r="L64" s="288" t="b">
        <f t="shared" si="1"/>
        <v>0</v>
      </c>
      <c r="M64" s="338">
        <v>371</v>
      </c>
      <c r="N64" s="338" t="s">
        <v>1286</v>
      </c>
      <c r="O64" s="338" t="s">
        <v>1303</v>
      </c>
      <c r="P64" s="338">
        <v>27960</v>
      </c>
      <c r="Q64" s="338" t="s">
        <v>1540</v>
      </c>
      <c r="R64" s="288" t="b">
        <f t="shared" si="2"/>
        <v>0</v>
      </c>
    </row>
    <row r="65" spans="1:18" x14ac:dyDescent="0.2">
      <c r="A65" s="339">
        <v>131</v>
      </c>
      <c r="B65" s="339" t="s">
        <v>1001</v>
      </c>
      <c r="C65" s="339" t="s">
        <v>1005</v>
      </c>
      <c r="D65" s="339">
        <v>20380</v>
      </c>
      <c r="E65" s="339" t="s">
        <v>61</v>
      </c>
      <c r="F65" s="288" t="b">
        <f t="shared" si="0"/>
        <v>0</v>
      </c>
      <c r="G65" s="339">
        <v>111</v>
      </c>
      <c r="H65" s="339" t="s">
        <v>970</v>
      </c>
      <c r="I65" s="339" t="s">
        <v>975</v>
      </c>
      <c r="J65" s="339">
        <v>20270</v>
      </c>
      <c r="K65" s="339" t="s">
        <v>1539</v>
      </c>
      <c r="L65" s="288" t="b">
        <f t="shared" si="1"/>
        <v>0</v>
      </c>
      <c r="M65" s="339">
        <v>371</v>
      </c>
      <c r="N65" s="339" t="s">
        <v>1286</v>
      </c>
      <c r="O65" s="339" t="s">
        <v>1292</v>
      </c>
      <c r="P65" s="339">
        <v>21860</v>
      </c>
      <c r="Q65" s="339" t="s">
        <v>1540</v>
      </c>
      <c r="R65" s="288" t="b">
        <f t="shared" si="2"/>
        <v>0</v>
      </c>
    </row>
    <row r="66" spans="1:18" x14ac:dyDescent="0.2">
      <c r="A66" s="339">
        <v>101</v>
      </c>
      <c r="B66" s="339" t="s">
        <v>964</v>
      </c>
      <c r="C66" s="339" t="s">
        <v>968</v>
      </c>
      <c r="D66" s="339">
        <v>20165</v>
      </c>
      <c r="E66" s="339" t="s">
        <v>61</v>
      </c>
      <c r="F66" s="288" t="b">
        <f t="shared" si="0"/>
        <v>0</v>
      </c>
      <c r="G66" s="339">
        <v>476</v>
      </c>
      <c r="H66" s="339" t="s">
        <v>1406</v>
      </c>
      <c r="I66" s="339" t="s">
        <v>1409</v>
      </c>
      <c r="J66" s="339">
        <v>20630</v>
      </c>
      <c r="K66" s="339" t="s">
        <v>1539</v>
      </c>
      <c r="L66" s="288" t="b">
        <f t="shared" si="1"/>
        <v>0</v>
      </c>
      <c r="M66" s="338">
        <v>388</v>
      </c>
      <c r="N66" s="338" t="s">
        <v>1544</v>
      </c>
      <c r="O66" s="338" t="s">
        <v>1314</v>
      </c>
      <c r="P66" s="338">
        <v>20085</v>
      </c>
      <c r="Q66" s="338" t="s">
        <v>1540</v>
      </c>
      <c r="R66" s="288" t="b">
        <f t="shared" si="2"/>
        <v>0</v>
      </c>
    </row>
    <row r="67" spans="1:18" x14ac:dyDescent="0.2">
      <c r="A67" s="338">
        <v>363</v>
      </c>
      <c r="B67" s="338" t="s">
        <v>1274</v>
      </c>
      <c r="C67" s="338" t="s">
        <v>1278</v>
      </c>
      <c r="D67" s="338">
        <v>21665</v>
      </c>
      <c r="E67" s="338" t="s">
        <v>61</v>
      </c>
      <c r="F67" s="288" t="b">
        <f t="shared" si="0"/>
        <v>0</v>
      </c>
      <c r="G67" s="339">
        <v>491</v>
      </c>
      <c r="H67" s="339" t="s">
        <v>1418</v>
      </c>
      <c r="I67" s="339" t="s">
        <v>1419</v>
      </c>
      <c r="J67" s="339">
        <v>22830</v>
      </c>
      <c r="K67" s="339" t="s">
        <v>1539</v>
      </c>
      <c r="L67" s="288" t="b">
        <f t="shared" si="1"/>
        <v>0</v>
      </c>
      <c r="M67" s="339">
        <v>399</v>
      </c>
      <c r="N67" s="339" t="s">
        <v>1320</v>
      </c>
      <c r="O67" s="339" t="s">
        <v>1322</v>
      </c>
      <c r="P67" s="339">
        <v>23115</v>
      </c>
      <c r="Q67" s="339" t="s">
        <v>1540</v>
      </c>
      <c r="R67" s="288" t="b">
        <f t="shared" si="2"/>
        <v>0</v>
      </c>
    </row>
    <row r="68" spans="1:18" x14ac:dyDescent="0.2">
      <c r="A68" s="338">
        <v>267</v>
      </c>
      <c r="B68" s="338" t="s">
        <v>1132</v>
      </c>
      <c r="C68" s="338" t="s">
        <v>1133</v>
      </c>
      <c r="D68" s="338">
        <v>21045</v>
      </c>
      <c r="E68" s="338" t="s">
        <v>61</v>
      </c>
      <c r="F68" s="288" t="b">
        <f t="shared" si="0"/>
        <v>0</v>
      </c>
      <c r="G68" s="339">
        <v>112</v>
      </c>
      <c r="H68" s="339" t="s">
        <v>978</v>
      </c>
      <c r="I68" s="339" t="s">
        <v>987</v>
      </c>
      <c r="J68" s="339">
        <v>22295</v>
      </c>
      <c r="K68" s="339" t="s">
        <v>1539</v>
      </c>
      <c r="L68" s="288" t="b">
        <f t="shared" si="1"/>
        <v>0</v>
      </c>
      <c r="M68" s="338">
        <v>401</v>
      </c>
      <c r="N68" s="338" t="s">
        <v>1324</v>
      </c>
      <c r="O68" s="338" t="s">
        <v>1326</v>
      </c>
      <c r="P68" s="338">
        <v>21985</v>
      </c>
      <c r="Q68" s="338" t="s">
        <v>1540</v>
      </c>
      <c r="R68" s="288" t="b">
        <f t="shared" si="2"/>
        <v>0</v>
      </c>
    </row>
    <row r="69" spans="1:18" x14ac:dyDescent="0.2">
      <c r="A69" s="338">
        <v>473</v>
      </c>
      <c r="B69" s="338" t="s">
        <v>1398</v>
      </c>
      <c r="C69" s="338" t="s">
        <v>1405</v>
      </c>
      <c r="D69" s="338">
        <v>22895</v>
      </c>
      <c r="E69" s="338" t="s">
        <v>61</v>
      </c>
      <c r="F69" s="288" t="b">
        <f t="shared" ref="F69:F132" si="3">C69=C68</f>
        <v>0</v>
      </c>
      <c r="G69" s="339">
        <v>335</v>
      </c>
      <c r="H69" s="339" t="s">
        <v>906</v>
      </c>
      <c r="I69" s="339" t="s">
        <v>1222</v>
      </c>
      <c r="J69" s="339">
        <v>21575</v>
      </c>
      <c r="K69" s="339" t="s">
        <v>1539</v>
      </c>
      <c r="L69" s="288" t="b">
        <f t="shared" ref="L69:L77" si="4">I69=I68</f>
        <v>0</v>
      </c>
      <c r="M69" s="339">
        <v>740</v>
      </c>
      <c r="N69" s="339" t="s">
        <v>1528</v>
      </c>
      <c r="O69" s="339" t="s">
        <v>1528</v>
      </c>
      <c r="P69" s="339">
        <v>29105</v>
      </c>
      <c r="Q69" s="339" t="s">
        <v>1540</v>
      </c>
      <c r="R69" s="288" t="b">
        <f t="shared" ref="R69:R99" si="5">O69=O68</f>
        <v>0</v>
      </c>
    </row>
    <row r="70" spans="1:18" x14ac:dyDescent="0.2">
      <c r="A70" s="338">
        <v>371</v>
      </c>
      <c r="B70" s="338" t="s">
        <v>1286</v>
      </c>
      <c r="C70" s="338" t="s">
        <v>1288</v>
      </c>
      <c r="D70" s="338">
        <v>21835</v>
      </c>
      <c r="E70" s="338" t="s">
        <v>61</v>
      </c>
      <c r="F70" s="288" t="b">
        <f t="shared" si="3"/>
        <v>0</v>
      </c>
      <c r="G70" s="338">
        <v>515</v>
      </c>
      <c r="H70" s="338" t="s">
        <v>1439</v>
      </c>
      <c r="I70" s="338" t="s">
        <v>1545</v>
      </c>
      <c r="J70" s="338">
        <v>26965</v>
      </c>
      <c r="K70" s="338" t="s">
        <v>1539</v>
      </c>
      <c r="L70" s="288" t="b">
        <f t="shared" si="4"/>
        <v>0</v>
      </c>
      <c r="M70" s="339">
        <v>703</v>
      </c>
      <c r="N70" s="339" t="s">
        <v>1495</v>
      </c>
      <c r="O70" s="339" t="s">
        <v>1497</v>
      </c>
      <c r="P70" s="339">
        <v>28395</v>
      </c>
      <c r="Q70" s="339" t="s">
        <v>1540</v>
      </c>
      <c r="R70" s="288" t="b">
        <f t="shared" si="5"/>
        <v>0</v>
      </c>
    </row>
    <row r="71" spans="1:18" x14ac:dyDescent="0.2">
      <c r="A71" s="338">
        <v>112</v>
      </c>
      <c r="B71" s="338" t="s">
        <v>978</v>
      </c>
      <c r="C71" s="338" t="s">
        <v>982</v>
      </c>
      <c r="D71" s="338">
        <v>22230</v>
      </c>
      <c r="E71" s="338" t="s">
        <v>61</v>
      </c>
      <c r="F71" s="288" t="b">
        <f t="shared" si="3"/>
        <v>0</v>
      </c>
      <c r="G71" s="339">
        <v>534</v>
      </c>
      <c r="H71" s="339" t="s">
        <v>1446</v>
      </c>
      <c r="I71" s="339" t="s">
        <v>1450</v>
      </c>
      <c r="J71" s="339">
        <v>22760</v>
      </c>
      <c r="K71" s="339" t="s">
        <v>1539</v>
      </c>
      <c r="L71" s="288" t="b">
        <f t="shared" si="4"/>
        <v>0</v>
      </c>
      <c r="M71" s="339">
        <v>359</v>
      </c>
      <c r="N71" s="339" t="s">
        <v>1270</v>
      </c>
      <c r="O71" s="339" t="s">
        <v>1272</v>
      </c>
      <c r="P71" s="339">
        <v>22070</v>
      </c>
      <c r="Q71" s="339" t="s">
        <v>1540</v>
      </c>
      <c r="R71" s="288" t="b">
        <f t="shared" si="5"/>
        <v>0</v>
      </c>
    </row>
    <row r="72" spans="1:18" x14ac:dyDescent="0.2">
      <c r="A72" s="338">
        <v>149</v>
      </c>
      <c r="B72" s="338" t="s">
        <v>1018</v>
      </c>
      <c r="C72" s="338" t="s">
        <v>1019</v>
      </c>
      <c r="D72" s="338">
        <v>20685</v>
      </c>
      <c r="E72" s="338" t="s">
        <v>61</v>
      </c>
      <c r="F72" s="288" t="b">
        <f t="shared" si="3"/>
        <v>0</v>
      </c>
      <c r="G72" s="338">
        <v>555</v>
      </c>
      <c r="H72" s="338" t="s">
        <v>1464</v>
      </c>
      <c r="I72" s="338" t="s">
        <v>1466</v>
      </c>
      <c r="J72" s="338">
        <v>20720</v>
      </c>
      <c r="K72" s="338" t="s">
        <v>1539</v>
      </c>
      <c r="L72" s="288" t="b">
        <f t="shared" si="4"/>
        <v>0</v>
      </c>
      <c r="M72" s="338">
        <v>423</v>
      </c>
      <c r="N72" s="338" t="s">
        <v>1338</v>
      </c>
      <c r="O72" s="338" t="s">
        <v>1341</v>
      </c>
      <c r="P72" s="338">
        <v>22800</v>
      </c>
      <c r="Q72" s="338" t="s">
        <v>1540</v>
      </c>
      <c r="R72" s="288" t="b">
        <f t="shared" si="5"/>
        <v>0</v>
      </c>
    </row>
    <row r="73" spans="1:18" x14ac:dyDescent="0.2">
      <c r="A73" s="338">
        <v>33</v>
      </c>
      <c r="B73" s="338" t="s">
        <v>927</v>
      </c>
      <c r="C73" s="338" t="s">
        <v>930</v>
      </c>
      <c r="D73" s="338">
        <v>29010</v>
      </c>
      <c r="E73" s="338" t="s">
        <v>61</v>
      </c>
      <c r="F73" s="288" t="b">
        <f t="shared" si="3"/>
        <v>0</v>
      </c>
      <c r="G73" s="338">
        <v>131</v>
      </c>
      <c r="H73" s="338" t="s">
        <v>1001</v>
      </c>
      <c r="I73" s="338" t="s">
        <v>1002</v>
      </c>
      <c r="J73" s="338">
        <v>27065</v>
      </c>
      <c r="K73" s="338" t="s">
        <v>1539</v>
      </c>
      <c r="L73" s="288" t="b">
        <f t="shared" si="4"/>
        <v>0</v>
      </c>
      <c r="M73" s="339">
        <v>425</v>
      </c>
      <c r="N73" s="339" t="s">
        <v>1343</v>
      </c>
      <c r="O73" s="339" t="s">
        <v>1345</v>
      </c>
      <c r="P73" s="339">
        <v>21105</v>
      </c>
      <c r="Q73" s="339" t="s">
        <v>1540</v>
      </c>
      <c r="R73" s="288" t="b">
        <f t="shared" si="5"/>
        <v>0</v>
      </c>
    </row>
    <row r="74" spans="1:18" x14ac:dyDescent="0.2">
      <c r="A74" s="338">
        <v>131</v>
      </c>
      <c r="B74" s="338" t="s">
        <v>1001</v>
      </c>
      <c r="C74" s="338" t="s">
        <v>1004</v>
      </c>
      <c r="D74" s="338">
        <v>20370</v>
      </c>
      <c r="E74" s="338" t="s">
        <v>61</v>
      </c>
      <c r="F74" s="288" t="b">
        <f t="shared" si="3"/>
        <v>0</v>
      </c>
      <c r="G74" s="339">
        <v>572</v>
      </c>
      <c r="H74" s="339" t="s">
        <v>1475</v>
      </c>
      <c r="I74" s="339" t="s">
        <v>1479</v>
      </c>
      <c r="J74" s="339">
        <v>26955</v>
      </c>
      <c r="K74" s="339" t="s">
        <v>1539</v>
      </c>
      <c r="L74" s="288" t="b">
        <f t="shared" si="4"/>
        <v>0</v>
      </c>
      <c r="M74" s="338">
        <v>427</v>
      </c>
      <c r="N74" s="338" t="s">
        <v>1347</v>
      </c>
      <c r="O74" s="338" t="s">
        <v>1349</v>
      </c>
      <c r="P74" s="338">
        <v>22620</v>
      </c>
      <c r="Q74" s="338" t="s">
        <v>1540</v>
      </c>
      <c r="R74" s="288" t="b">
        <f t="shared" si="5"/>
        <v>0</v>
      </c>
    </row>
    <row r="75" spans="1:18" x14ac:dyDescent="0.2">
      <c r="A75" s="339">
        <v>153</v>
      </c>
      <c r="B75" s="339" t="s">
        <v>1020</v>
      </c>
      <c r="C75" s="339" t="s">
        <v>1021</v>
      </c>
      <c r="D75" s="339">
        <v>20565</v>
      </c>
      <c r="E75" s="339" t="s">
        <v>61</v>
      </c>
      <c r="F75" s="288" t="b">
        <f t="shared" si="3"/>
        <v>0</v>
      </c>
      <c r="G75" s="338">
        <v>575</v>
      </c>
      <c r="H75" s="338" t="s">
        <v>1481</v>
      </c>
      <c r="I75" s="338" t="s">
        <v>1482</v>
      </c>
      <c r="J75" s="338">
        <v>21125</v>
      </c>
      <c r="K75" s="338" t="s">
        <v>1539</v>
      </c>
      <c r="L75" s="288" t="b">
        <f t="shared" si="4"/>
        <v>0</v>
      </c>
      <c r="M75" s="338">
        <v>437</v>
      </c>
      <c r="N75" s="338" t="s">
        <v>1355</v>
      </c>
      <c r="O75" s="338" t="s">
        <v>1357</v>
      </c>
      <c r="P75" s="338">
        <v>26500</v>
      </c>
      <c r="Q75" s="338" t="s">
        <v>1540</v>
      </c>
      <c r="R75" s="288" t="b">
        <f t="shared" si="5"/>
        <v>0</v>
      </c>
    </row>
    <row r="76" spans="1:18" x14ac:dyDescent="0.2">
      <c r="A76" s="339">
        <v>461</v>
      </c>
      <c r="B76" s="339" t="s">
        <v>1379</v>
      </c>
      <c r="C76" s="339" t="s">
        <v>1380</v>
      </c>
      <c r="D76" s="339">
        <v>22650</v>
      </c>
      <c r="E76" s="339" t="s">
        <v>61</v>
      </c>
      <c r="F76" s="288" t="b">
        <f t="shared" si="3"/>
        <v>0</v>
      </c>
      <c r="G76" s="339">
        <v>582</v>
      </c>
      <c r="H76" s="339" t="s">
        <v>1488</v>
      </c>
      <c r="I76" s="339" t="s">
        <v>1492</v>
      </c>
      <c r="J76" s="339">
        <v>22955</v>
      </c>
      <c r="K76" s="339" t="s">
        <v>1539</v>
      </c>
      <c r="L76" s="288" t="b">
        <f t="shared" si="4"/>
        <v>0</v>
      </c>
      <c r="M76" s="339">
        <v>439</v>
      </c>
      <c r="N76" s="339" t="s">
        <v>1358</v>
      </c>
      <c r="O76" s="339" t="s">
        <v>1361</v>
      </c>
      <c r="P76" s="339">
        <v>22500</v>
      </c>
      <c r="Q76" s="339" t="s">
        <v>1540</v>
      </c>
      <c r="R76" s="288" t="b">
        <f t="shared" si="5"/>
        <v>0</v>
      </c>
    </row>
    <row r="77" spans="1:18" x14ac:dyDescent="0.2">
      <c r="A77" s="338">
        <v>203</v>
      </c>
      <c r="B77" s="338" t="s">
        <v>1070</v>
      </c>
      <c r="C77" s="338" t="s">
        <v>1071</v>
      </c>
      <c r="D77" s="338">
        <v>20745</v>
      </c>
      <c r="E77" s="338" t="s">
        <v>61</v>
      </c>
      <c r="F77" s="288" t="b">
        <f t="shared" si="3"/>
        <v>0</v>
      </c>
      <c r="G77" s="338">
        <v>473</v>
      </c>
      <c r="H77" s="338" t="s">
        <v>1398</v>
      </c>
      <c r="I77" s="338" t="s">
        <v>1399</v>
      </c>
      <c r="J77" s="338">
        <v>22850</v>
      </c>
      <c r="K77" s="338" t="s">
        <v>1539</v>
      </c>
      <c r="L77" s="288" t="b">
        <f t="shared" si="4"/>
        <v>0</v>
      </c>
      <c r="M77" s="339">
        <v>428</v>
      </c>
      <c r="N77" s="339" t="s">
        <v>1351</v>
      </c>
      <c r="O77" s="339" t="s">
        <v>1352</v>
      </c>
      <c r="P77" s="339">
        <v>22350</v>
      </c>
      <c r="Q77" s="339" t="s">
        <v>1540</v>
      </c>
      <c r="R77" s="288" t="b">
        <f t="shared" si="5"/>
        <v>0</v>
      </c>
    </row>
    <row r="78" spans="1:18" x14ac:dyDescent="0.2">
      <c r="A78" s="339">
        <v>208</v>
      </c>
      <c r="B78" s="339" t="s">
        <v>1074</v>
      </c>
      <c r="C78" s="339" t="s">
        <v>1075</v>
      </c>
      <c r="D78" s="339">
        <v>22395</v>
      </c>
      <c r="E78" s="339" t="s">
        <v>61</v>
      </c>
      <c r="F78" s="288" t="b">
        <f t="shared" si="3"/>
        <v>0</v>
      </c>
      <c r="G78" s="337"/>
      <c r="H78" s="337"/>
      <c r="I78" s="337"/>
      <c r="J78" s="337"/>
      <c r="K78" s="337"/>
      <c r="L78" s="288"/>
      <c r="M78" s="338">
        <v>449</v>
      </c>
      <c r="N78" s="338" t="s">
        <v>1366</v>
      </c>
      <c r="O78" s="338" t="s">
        <v>1371</v>
      </c>
      <c r="P78" s="338">
        <v>22565</v>
      </c>
      <c r="Q78" s="338" t="s">
        <v>1540</v>
      </c>
      <c r="R78" s="288" t="b">
        <f t="shared" si="5"/>
        <v>0</v>
      </c>
    </row>
    <row r="79" spans="1:18" x14ac:dyDescent="0.2">
      <c r="A79" s="338">
        <v>189</v>
      </c>
      <c r="B79" s="338" t="s">
        <v>1057</v>
      </c>
      <c r="C79" s="338" t="s">
        <v>1058</v>
      </c>
      <c r="D79" s="338">
        <v>20525</v>
      </c>
      <c r="E79" s="338" t="s">
        <v>61</v>
      </c>
      <c r="F79" s="288" t="b">
        <f t="shared" si="3"/>
        <v>0</v>
      </c>
      <c r="G79" s="337"/>
      <c r="H79" s="337"/>
      <c r="I79" s="337"/>
      <c r="J79" s="337"/>
      <c r="K79" s="337"/>
      <c r="L79" s="288"/>
      <c r="M79" s="339">
        <v>450</v>
      </c>
      <c r="N79" s="339" t="s">
        <v>1372</v>
      </c>
      <c r="O79" s="339" t="s">
        <v>1373</v>
      </c>
      <c r="P79" s="339">
        <v>21395</v>
      </c>
      <c r="Q79" s="339" t="s">
        <v>1540</v>
      </c>
      <c r="R79" s="288" t="b">
        <f t="shared" si="5"/>
        <v>0</v>
      </c>
    </row>
    <row r="80" spans="1:18" x14ac:dyDescent="0.2">
      <c r="A80" s="338">
        <v>285</v>
      </c>
      <c r="B80" s="338" t="s">
        <v>1168</v>
      </c>
      <c r="C80" s="338" t="s">
        <v>1173</v>
      </c>
      <c r="D80" s="338">
        <v>21290</v>
      </c>
      <c r="E80" s="338" t="s">
        <v>61</v>
      </c>
      <c r="F80" s="288" t="b">
        <f t="shared" si="3"/>
        <v>0</v>
      </c>
      <c r="G80" s="337"/>
      <c r="H80" s="337"/>
      <c r="I80" s="337"/>
      <c r="J80" s="337"/>
      <c r="K80" s="337"/>
      <c r="L80" s="288"/>
      <c r="M80" s="339">
        <v>970</v>
      </c>
      <c r="N80" s="339" t="s">
        <v>1638</v>
      </c>
      <c r="O80" s="339" t="s">
        <v>1639</v>
      </c>
      <c r="P80" s="339">
        <v>28215</v>
      </c>
      <c r="Q80" s="339" t="s">
        <v>1540</v>
      </c>
      <c r="R80" s="288" t="b">
        <f t="shared" si="5"/>
        <v>0</v>
      </c>
    </row>
    <row r="81" spans="1:18" x14ac:dyDescent="0.2">
      <c r="A81" s="338">
        <v>343</v>
      </c>
      <c r="B81" s="338" t="s">
        <v>1239</v>
      </c>
      <c r="C81" s="338" t="s">
        <v>1242</v>
      </c>
      <c r="D81" s="338">
        <v>21325</v>
      </c>
      <c r="E81" s="338" t="s">
        <v>61</v>
      </c>
      <c r="F81" s="288" t="b">
        <f t="shared" si="3"/>
        <v>0</v>
      </c>
      <c r="G81" s="337"/>
      <c r="H81" s="337"/>
      <c r="I81" s="337"/>
      <c r="J81" s="337"/>
      <c r="K81" s="337"/>
      <c r="L81" s="288"/>
      <c r="M81" s="338">
        <v>453</v>
      </c>
      <c r="N81" s="338" t="s">
        <v>1375</v>
      </c>
      <c r="O81" s="338" t="s">
        <v>1377</v>
      </c>
      <c r="P81" s="338">
        <v>21390</v>
      </c>
      <c r="Q81" s="338" t="s">
        <v>1540</v>
      </c>
      <c r="R81" s="288" t="b">
        <f t="shared" si="5"/>
        <v>0</v>
      </c>
    </row>
    <row r="82" spans="1:18" x14ac:dyDescent="0.2">
      <c r="A82" s="338">
        <v>165</v>
      </c>
      <c r="B82" s="338" t="s">
        <v>1022</v>
      </c>
      <c r="C82" s="338" t="s">
        <v>1024</v>
      </c>
      <c r="D82" s="338">
        <v>26510</v>
      </c>
      <c r="E82" s="338" t="s">
        <v>61</v>
      </c>
      <c r="F82" s="288" t="b">
        <f t="shared" si="3"/>
        <v>0</v>
      </c>
      <c r="M82" s="339">
        <v>457</v>
      </c>
      <c r="N82" s="339" t="s">
        <v>1633</v>
      </c>
      <c r="O82" s="339" t="s">
        <v>1637</v>
      </c>
      <c r="P82" s="339">
        <v>29197</v>
      </c>
      <c r="Q82" s="339" t="s">
        <v>1540</v>
      </c>
      <c r="R82" s="288" t="b">
        <f t="shared" si="5"/>
        <v>0</v>
      </c>
    </row>
    <row r="83" spans="1:18" x14ac:dyDescent="0.2">
      <c r="A83" s="339">
        <v>167</v>
      </c>
      <c r="B83" s="339" t="s">
        <v>1025</v>
      </c>
      <c r="C83" s="339" t="s">
        <v>1026</v>
      </c>
      <c r="D83" s="339">
        <v>22600</v>
      </c>
      <c r="E83" s="339" t="s">
        <v>61</v>
      </c>
      <c r="F83" s="288" t="b">
        <f t="shared" si="3"/>
        <v>0</v>
      </c>
      <c r="M83" s="338">
        <v>473</v>
      </c>
      <c r="N83" s="338" t="s">
        <v>1398</v>
      </c>
      <c r="O83" s="338" t="s">
        <v>1403</v>
      </c>
      <c r="P83" s="338">
        <v>22880</v>
      </c>
      <c r="Q83" s="338" t="s">
        <v>1540</v>
      </c>
      <c r="R83" s="288" t="b">
        <f t="shared" si="5"/>
        <v>0</v>
      </c>
    </row>
    <row r="84" spans="1:18" x14ac:dyDescent="0.2">
      <c r="A84" s="339">
        <v>131</v>
      </c>
      <c r="B84" s="339" t="s">
        <v>1001</v>
      </c>
      <c r="C84" s="339" t="s">
        <v>1003</v>
      </c>
      <c r="D84" s="339">
        <v>28465</v>
      </c>
      <c r="E84" s="339" t="s">
        <v>61</v>
      </c>
      <c r="F84" s="288" t="b">
        <f t="shared" si="3"/>
        <v>0</v>
      </c>
      <c r="M84" s="339">
        <v>476</v>
      </c>
      <c r="N84" s="339" t="s">
        <v>1406</v>
      </c>
      <c r="O84" s="339" t="s">
        <v>1407</v>
      </c>
      <c r="P84" s="339">
        <v>20620</v>
      </c>
      <c r="Q84" s="339" t="s">
        <v>1540</v>
      </c>
      <c r="R84" s="288" t="b">
        <f t="shared" si="5"/>
        <v>0</v>
      </c>
    </row>
    <row r="85" spans="1:18" x14ac:dyDescent="0.2">
      <c r="A85" s="338">
        <v>171</v>
      </c>
      <c r="B85" s="338" t="s">
        <v>1027</v>
      </c>
      <c r="C85" s="338" t="s">
        <v>1028</v>
      </c>
      <c r="D85" s="338">
        <v>20735</v>
      </c>
      <c r="E85" s="338" t="s">
        <v>61</v>
      </c>
      <c r="F85" s="288" t="b">
        <f t="shared" si="3"/>
        <v>0</v>
      </c>
      <c r="M85" s="339">
        <v>491</v>
      </c>
      <c r="N85" s="339" t="s">
        <v>1418</v>
      </c>
      <c r="O85" s="339" t="s">
        <v>1420</v>
      </c>
      <c r="P85" s="339">
        <v>22845</v>
      </c>
      <c r="Q85" s="339" t="s">
        <v>1540</v>
      </c>
      <c r="R85" s="288" t="b">
        <f t="shared" si="5"/>
        <v>0</v>
      </c>
    </row>
    <row r="86" spans="1:18" x14ac:dyDescent="0.2">
      <c r="A86" s="339">
        <v>371</v>
      </c>
      <c r="B86" s="339" t="s">
        <v>1286</v>
      </c>
      <c r="C86" s="339" t="s">
        <v>1289</v>
      </c>
      <c r="D86" s="339">
        <v>21840</v>
      </c>
      <c r="E86" s="339" t="s">
        <v>61</v>
      </c>
      <c r="F86" s="288" t="b">
        <f t="shared" si="3"/>
        <v>0</v>
      </c>
      <c r="M86" s="338">
        <v>493</v>
      </c>
      <c r="N86" s="338" t="s">
        <v>1423</v>
      </c>
      <c r="O86" s="338" t="s">
        <v>1424</v>
      </c>
      <c r="P86" s="338">
        <v>26860</v>
      </c>
      <c r="Q86" s="338" t="s">
        <v>1540</v>
      </c>
      <c r="R86" s="288" t="b">
        <f t="shared" si="5"/>
        <v>0</v>
      </c>
    </row>
    <row r="87" spans="1:18" x14ac:dyDescent="0.2">
      <c r="A87" s="339">
        <v>174</v>
      </c>
      <c r="B87" s="339" t="s">
        <v>1035</v>
      </c>
      <c r="C87" s="339" t="s">
        <v>1563</v>
      </c>
      <c r="D87" s="339">
        <v>27395</v>
      </c>
      <c r="E87" s="339" t="s">
        <v>1561</v>
      </c>
      <c r="F87" s="288" t="b">
        <f t="shared" si="3"/>
        <v>0</v>
      </c>
      <c r="M87" s="338">
        <v>714</v>
      </c>
      <c r="N87" s="338" t="s">
        <v>1618</v>
      </c>
      <c r="O87" s="338" t="s">
        <v>1619</v>
      </c>
      <c r="P87" s="338">
        <v>29221</v>
      </c>
      <c r="Q87" s="338" t="s">
        <v>1540</v>
      </c>
      <c r="R87" s="288" t="b">
        <f t="shared" si="5"/>
        <v>0</v>
      </c>
    </row>
    <row r="88" spans="1:18" x14ac:dyDescent="0.2">
      <c r="A88" s="338">
        <v>572</v>
      </c>
      <c r="B88" s="338" t="s">
        <v>1475</v>
      </c>
      <c r="C88" s="338" t="s">
        <v>1477</v>
      </c>
      <c r="D88" s="338">
        <v>23060</v>
      </c>
      <c r="E88" s="338" t="s">
        <v>61</v>
      </c>
      <c r="F88" s="288" t="b">
        <f t="shared" si="3"/>
        <v>0</v>
      </c>
      <c r="M88" s="339">
        <v>461</v>
      </c>
      <c r="N88" s="339" t="s">
        <v>1379</v>
      </c>
      <c r="O88" s="339" t="s">
        <v>1386</v>
      </c>
      <c r="P88" s="339">
        <v>22700</v>
      </c>
      <c r="Q88" s="339" t="s">
        <v>1540</v>
      </c>
      <c r="R88" s="288" t="b">
        <f t="shared" si="5"/>
        <v>0</v>
      </c>
    </row>
    <row r="89" spans="1:18" x14ac:dyDescent="0.2">
      <c r="A89" s="339">
        <v>142</v>
      </c>
      <c r="B89" s="339" t="s">
        <v>1015</v>
      </c>
      <c r="C89" s="339" t="s">
        <v>1017</v>
      </c>
      <c r="D89" s="339">
        <v>20825</v>
      </c>
      <c r="E89" s="339" t="s">
        <v>61</v>
      </c>
      <c r="F89" s="288" t="b">
        <f t="shared" si="3"/>
        <v>0</v>
      </c>
      <c r="M89" s="338">
        <v>101</v>
      </c>
      <c r="N89" s="338" t="s">
        <v>964</v>
      </c>
      <c r="O89" s="338" t="s">
        <v>966</v>
      </c>
      <c r="P89" s="338">
        <v>20140</v>
      </c>
      <c r="Q89" s="338" t="s">
        <v>1540</v>
      </c>
      <c r="R89" s="288" t="b">
        <f t="shared" si="5"/>
        <v>0</v>
      </c>
    </row>
    <row r="90" spans="1:18" x14ac:dyDescent="0.2">
      <c r="A90" s="339">
        <v>112</v>
      </c>
      <c r="B90" s="339" t="s">
        <v>978</v>
      </c>
      <c r="C90" s="339" t="s">
        <v>983</v>
      </c>
      <c r="D90" s="339">
        <v>22245</v>
      </c>
      <c r="E90" s="339" t="s">
        <v>61</v>
      </c>
      <c r="F90" s="288" t="b">
        <f t="shared" si="3"/>
        <v>0</v>
      </c>
      <c r="M90" s="339">
        <v>515</v>
      </c>
      <c r="N90" s="339" t="s">
        <v>1439</v>
      </c>
      <c r="O90" s="339" t="s">
        <v>1440</v>
      </c>
      <c r="P90" s="339">
        <v>22000</v>
      </c>
      <c r="Q90" s="339" t="s">
        <v>1540</v>
      </c>
      <c r="R90" s="288" t="b">
        <f t="shared" si="5"/>
        <v>0</v>
      </c>
    </row>
    <row r="91" spans="1:18" x14ac:dyDescent="0.2">
      <c r="A91" s="339">
        <v>279</v>
      </c>
      <c r="B91" s="339" t="s">
        <v>1159</v>
      </c>
      <c r="C91" s="339" t="s">
        <v>1163</v>
      </c>
      <c r="D91" s="339">
        <v>21190</v>
      </c>
      <c r="E91" s="339" t="s">
        <v>61</v>
      </c>
      <c r="F91" s="288" t="b">
        <f t="shared" si="3"/>
        <v>0</v>
      </c>
      <c r="M91" s="338">
        <v>741</v>
      </c>
      <c r="N91" s="338" t="s">
        <v>1529</v>
      </c>
      <c r="O91" s="338" t="s">
        <v>1530</v>
      </c>
      <c r="P91" s="338">
        <v>29149</v>
      </c>
      <c r="Q91" s="338" t="s">
        <v>1540</v>
      </c>
      <c r="R91" s="288" t="b">
        <f t="shared" si="5"/>
        <v>0</v>
      </c>
    </row>
    <row r="92" spans="1:18" x14ac:dyDescent="0.2">
      <c r="A92" s="339">
        <v>185</v>
      </c>
      <c r="B92" s="339" t="s">
        <v>1051</v>
      </c>
      <c r="C92" s="339" t="s">
        <v>1054</v>
      </c>
      <c r="D92" s="339">
        <v>26755</v>
      </c>
      <c r="E92" s="339" t="s">
        <v>61</v>
      </c>
      <c r="F92" s="288" t="b">
        <f t="shared" si="3"/>
        <v>0</v>
      </c>
      <c r="M92" s="338">
        <v>534</v>
      </c>
      <c r="N92" s="338" t="s">
        <v>1446</v>
      </c>
      <c r="O92" s="338" t="s">
        <v>1452</v>
      </c>
      <c r="P92" s="338">
        <v>22770</v>
      </c>
      <c r="Q92" s="338" t="s">
        <v>1540</v>
      </c>
      <c r="R92" s="288" t="b">
        <f t="shared" si="5"/>
        <v>0</v>
      </c>
    </row>
    <row r="93" spans="1:18" x14ac:dyDescent="0.2">
      <c r="A93" s="338">
        <v>261</v>
      </c>
      <c r="B93" s="338" t="s">
        <v>1123</v>
      </c>
      <c r="C93" s="338" t="s">
        <v>1125</v>
      </c>
      <c r="D93" s="338">
        <v>20550</v>
      </c>
      <c r="E93" s="338" t="s">
        <v>61</v>
      </c>
      <c r="F93" s="288" t="b">
        <f t="shared" si="3"/>
        <v>0</v>
      </c>
      <c r="M93" s="338">
        <v>727</v>
      </c>
      <c r="N93" s="338" t="s">
        <v>1516</v>
      </c>
      <c r="O93" s="338" t="s">
        <v>1518</v>
      </c>
      <c r="P93" s="338">
        <v>28605</v>
      </c>
      <c r="Q93" s="338" t="s">
        <v>1540</v>
      </c>
      <c r="R93" s="288" t="b">
        <f t="shared" si="5"/>
        <v>0</v>
      </c>
    </row>
    <row r="94" spans="1:18" x14ac:dyDescent="0.2">
      <c r="A94" s="339">
        <v>187</v>
      </c>
      <c r="B94" s="339" t="s">
        <v>1055</v>
      </c>
      <c r="C94" s="339" t="s">
        <v>1056</v>
      </c>
      <c r="D94" s="339">
        <v>20350</v>
      </c>
      <c r="E94" s="339" t="s">
        <v>61</v>
      </c>
      <c r="F94" s="288" t="b">
        <f t="shared" si="3"/>
        <v>0</v>
      </c>
      <c r="M94" s="339">
        <v>568</v>
      </c>
      <c r="N94" s="339" t="s">
        <v>1471</v>
      </c>
      <c r="O94" s="339" t="s">
        <v>1474</v>
      </c>
      <c r="P94" s="339">
        <v>21480</v>
      </c>
      <c r="Q94" s="339" t="s">
        <v>1540</v>
      </c>
      <c r="R94" s="288" t="b">
        <f t="shared" si="5"/>
        <v>0</v>
      </c>
    </row>
    <row r="95" spans="1:18" x14ac:dyDescent="0.2">
      <c r="A95" s="338">
        <v>279</v>
      </c>
      <c r="B95" s="338" t="s">
        <v>1159</v>
      </c>
      <c r="C95" s="338" t="s">
        <v>1160</v>
      </c>
      <c r="D95" s="338">
        <v>21165</v>
      </c>
      <c r="E95" s="338" t="s">
        <v>61</v>
      </c>
      <c r="F95" s="288" t="b">
        <f t="shared" si="3"/>
        <v>0</v>
      </c>
      <c r="M95" s="338">
        <v>572</v>
      </c>
      <c r="N95" s="338" t="s">
        <v>1475</v>
      </c>
      <c r="O95" s="338" t="s">
        <v>1478</v>
      </c>
      <c r="P95" s="338">
        <v>23070</v>
      </c>
      <c r="Q95" s="338" t="s">
        <v>1540</v>
      </c>
      <c r="R95" s="288" t="b">
        <f t="shared" si="5"/>
        <v>0</v>
      </c>
    </row>
    <row r="96" spans="1:18" x14ac:dyDescent="0.2">
      <c r="A96" s="338">
        <v>141</v>
      </c>
      <c r="B96" s="338" t="s">
        <v>1009</v>
      </c>
      <c r="C96" s="338" t="s">
        <v>1010</v>
      </c>
      <c r="D96" s="338">
        <v>20430</v>
      </c>
      <c r="E96" s="338" t="s">
        <v>61</v>
      </c>
      <c r="F96" s="288" t="b">
        <f t="shared" si="3"/>
        <v>0</v>
      </c>
      <c r="M96" s="339">
        <v>575</v>
      </c>
      <c r="N96" s="339" t="s">
        <v>1481</v>
      </c>
      <c r="O96" s="339" t="s">
        <v>1485</v>
      </c>
      <c r="P96" s="339">
        <v>28640</v>
      </c>
      <c r="Q96" s="339" t="s">
        <v>1540</v>
      </c>
      <c r="R96" s="288" t="b">
        <f t="shared" si="5"/>
        <v>0</v>
      </c>
    </row>
    <row r="97" spans="1:18" x14ac:dyDescent="0.2">
      <c r="A97" s="338">
        <v>742</v>
      </c>
      <c r="B97" s="338" t="s">
        <v>1532</v>
      </c>
      <c r="C97" s="338" t="s">
        <v>1533</v>
      </c>
      <c r="D97" s="338">
        <v>29151</v>
      </c>
      <c r="E97" s="338" t="s">
        <v>61</v>
      </c>
      <c r="F97" s="288" t="b">
        <f t="shared" si="3"/>
        <v>0</v>
      </c>
      <c r="M97" s="338">
        <v>581</v>
      </c>
      <c r="N97" s="338" t="s">
        <v>1486</v>
      </c>
      <c r="O97" s="338" t="s">
        <v>1487</v>
      </c>
      <c r="P97" s="338">
        <v>20780</v>
      </c>
      <c r="Q97" s="338" t="s">
        <v>1540</v>
      </c>
      <c r="R97" s="288" t="b">
        <f t="shared" si="5"/>
        <v>0</v>
      </c>
    </row>
    <row r="98" spans="1:18" x14ac:dyDescent="0.2">
      <c r="A98" s="339">
        <v>191</v>
      </c>
      <c r="B98" s="339" t="s">
        <v>1059</v>
      </c>
      <c r="C98" s="339" t="s">
        <v>1061</v>
      </c>
      <c r="D98" s="339">
        <v>21245</v>
      </c>
      <c r="E98" s="339" t="s">
        <v>61</v>
      </c>
      <c r="F98" s="288" t="b">
        <f t="shared" si="3"/>
        <v>0</v>
      </c>
      <c r="M98" s="339">
        <v>582</v>
      </c>
      <c r="N98" s="339" t="s">
        <v>1488</v>
      </c>
      <c r="O98" s="339" t="s">
        <v>1491</v>
      </c>
      <c r="P98" s="339">
        <v>22950</v>
      </c>
      <c r="Q98" s="339" t="s">
        <v>1540</v>
      </c>
      <c r="R98" s="288" t="b">
        <f t="shared" si="5"/>
        <v>0</v>
      </c>
    </row>
    <row r="99" spans="1:18" x14ac:dyDescent="0.2">
      <c r="A99" s="338">
        <v>195</v>
      </c>
      <c r="B99" s="338" t="s">
        <v>1063</v>
      </c>
      <c r="C99" s="338" t="s">
        <v>1064</v>
      </c>
      <c r="D99" s="338">
        <v>21250</v>
      </c>
      <c r="E99" s="338" t="s">
        <v>61</v>
      </c>
      <c r="F99" s="288" t="b">
        <f t="shared" si="3"/>
        <v>0</v>
      </c>
      <c r="M99" s="338">
        <v>238</v>
      </c>
      <c r="N99" s="338" t="s">
        <v>1099</v>
      </c>
      <c r="O99" s="338" t="s">
        <v>1101</v>
      </c>
      <c r="P99" s="338">
        <v>20910</v>
      </c>
      <c r="Q99" s="338" t="s">
        <v>1540</v>
      </c>
      <c r="R99" s="288" t="b">
        <f t="shared" si="5"/>
        <v>0</v>
      </c>
    </row>
    <row r="100" spans="1:18" x14ac:dyDescent="0.2">
      <c r="A100" s="339">
        <v>363</v>
      </c>
      <c r="B100" s="339" t="s">
        <v>1274</v>
      </c>
      <c r="C100" s="339" t="s">
        <v>1609</v>
      </c>
      <c r="D100" s="339">
        <v>21670</v>
      </c>
      <c r="E100" s="339" t="s">
        <v>61</v>
      </c>
      <c r="F100" s="288" t="b">
        <f t="shared" si="3"/>
        <v>0</v>
      </c>
      <c r="M100" s="337"/>
      <c r="N100" s="337"/>
      <c r="O100" s="337"/>
      <c r="P100" s="337"/>
      <c r="Q100" s="337"/>
      <c r="R100" s="288"/>
    </row>
    <row r="101" spans="1:18" x14ac:dyDescent="0.2">
      <c r="A101" s="338">
        <v>199</v>
      </c>
      <c r="B101" s="338" t="s">
        <v>1065</v>
      </c>
      <c r="C101" s="338" t="s">
        <v>1067</v>
      </c>
      <c r="D101" s="338">
        <v>28525</v>
      </c>
      <c r="E101" s="338" t="s">
        <v>61</v>
      </c>
      <c r="F101" s="288" t="b">
        <f t="shared" si="3"/>
        <v>0</v>
      </c>
      <c r="M101" s="337"/>
      <c r="N101" s="337"/>
      <c r="O101" s="337"/>
      <c r="P101" s="337"/>
      <c r="Q101" s="337"/>
      <c r="R101" s="288"/>
    </row>
    <row r="102" spans="1:18" x14ac:dyDescent="0.2">
      <c r="A102" s="339">
        <v>575</v>
      </c>
      <c r="B102" s="339" t="s">
        <v>1481</v>
      </c>
      <c r="C102" s="339" t="s">
        <v>1483</v>
      </c>
      <c r="D102" s="339">
        <v>21130</v>
      </c>
      <c r="E102" s="339" t="s">
        <v>61</v>
      </c>
      <c r="F102" s="288" t="b">
        <f t="shared" si="3"/>
        <v>0</v>
      </c>
      <c r="M102" s="337"/>
      <c r="N102" s="337"/>
      <c r="O102" s="337"/>
      <c r="P102" s="337"/>
      <c r="Q102" s="337"/>
      <c r="R102" s="288"/>
    </row>
    <row r="103" spans="1:18" x14ac:dyDescent="0.2">
      <c r="A103" s="338">
        <v>461</v>
      </c>
      <c r="B103" s="338" t="s">
        <v>1379</v>
      </c>
      <c r="C103" s="338" t="s">
        <v>1389</v>
      </c>
      <c r="D103" s="338">
        <v>22725</v>
      </c>
      <c r="E103" s="338" t="s">
        <v>61</v>
      </c>
      <c r="F103" s="288" t="b">
        <f t="shared" si="3"/>
        <v>0</v>
      </c>
      <c r="M103" s="337"/>
      <c r="N103" s="337"/>
      <c r="O103" s="337"/>
      <c r="P103" s="337"/>
      <c r="Q103" s="337"/>
      <c r="R103" s="288"/>
    </row>
    <row r="104" spans="1:18" x14ac:dyDescent="0.2">
      <c r="A104" s="338">
        <v>335</v>
      </c>
      <c r="B104" s="338" t="s">
        <v>906</v>
      </c>
      <c r="C104" s="338" t="s">
        <v>1216</v>
      </c>
      <c r="D104" s="338">
        <v>21530</v>
      </c>
      <c r="E104" s="338" t="s">
        <v>61</v>
      </c>
      <c r="F104" s="288" t="b">
        <f t="shared" si="3"/>
        <v>0</v>
      </c>
      <c r="M104" s="337"/>
      <c r="N104" s="337"/>
      <c r="O104" s="337"/>
      <c r="P104" s="337"/>
      <c r="Q104" s="337"/>
      <c r="R104" s="288"/>
    </row>
    <row r="105" spans="1:18" x14ac:dyDescent="0.2">
      <c r="A105" s="339">
        <v>211</v>
      </c>
      <c r="B105" s="339" t="s">
        <v>1083</v>
      </c>
      <c r="C105" s="339" t="s">
        <v>1084</v>
      </c>
      <c r="D105" s="339">
        <v>21330</v>
      </c>
      <c r="E105" s="339" t="s">
        <v>61</v>
      </c>
      <c r="F105" s="288" t="b">
        <f t="shared" si="3"/>
        <v>0</v>
      </c>
      <c r="M105" s="337"/>
      <c r="N105" s="337"/>
      <c r="O105" s="337"/>
      <c r="P105" s="337"/>
      <c r="Q105" s="337"/>
      <c r="R105" s="288"/>
    </row>
    <row r="106" spans="1:18" x14ac:dyDescent="0.2">
      <c r="A106" s="339">
        <v>335</v>
      </c>
      <c r="B106" s="339" t="s">
        <v>906</v>
      </c>
      <c r="C106" s="339" t="s">
        <v>1226</v>
      </c>
      <c r="D106" s="339">
        <v>21610</v>
      </c>
      <c r="E106" s="339" t="s">
        <v>61</v>
      </c>
      <c r="F106" s="288" t="b">
        <f t="shared" si="3"/>
        <v>0</v>
      </c>
      <c r="M106" s="337"/>
      <c r="N106" s="337"/>
      <c r="O106" s="337"/>
      <c r="P106" s="337"/>
      <c r="Q106" s="337"/>
      <c r="R106" s="288"/>
    </row>
    <row r="107" spans="1:18" x14ac:dyDescent="0.2">
      <c r="A107" s="338">
        <v>112</v>
      </c>
      <c r="B107" s="338" t="s">
        <v>978</v>
      </c>
      <c r="C107" s="338" t="s">
        <v>984</v>
      </c>
      <c r="D107" s="338">
        <v>22250</v>
      </c>
      <c r="E107" s="338" t="s">
        <v>61</v>
      </c>
      <c r="F107" s="288" t="b">
        <f t="shared" si="3"/>
        <v>0</v>
      </c>
      <c r="M107" s="337"/>
      <c r="N107" s="337"/>
      <c r="O107" s="337"/>
      <c r="P107" s="337"/>
      <c r="Q107" s="337"/>
      <c r="R107" s="288"/>
    </row>
    <row r="108" spans="1:18" x14ac:dyDescent="0.2">
      <c r="A108" s="338">
        <v>215</v>
      </c>
      <c r="B108" s="338" t="s">
        <v>1085</v>
      </c>
      <c r="C108" s="338" t="s">
        <v>1086</v>
      </c>
      <c r="D108" s="338">
        <v>22450</v>
      </c>
      <c r="E108" s="338" t="s">
        <v>61</v>
      </c>
      <c r="F108" s="288" t="b">
        <f t="shared" si="3"/>
        <v>0</v>
      </c>
      <c r="M108" s="337"/>
      <c r="N108" s="337"/>
      <c r="O108" s="337"/>
      <c r="P108" s="337"/>
      <c r="Q108" s="337"/>
      <c r="R108" s="288"/>
    </row>
    <row r="109" spans="1:18" x14ac:dyDescent="0.2">
      <c r="A109" s="338">
        <v>315</v>
      </c>
      <c r="B109" s="338" t="s">
        <v>1193</v>
      </c>
      <c r="C109" s="338" t="s">
        <v>1194</v>
      </c>
      <c r="D109" s="338">
        <v>21095</v>
      </c>
      <c r="E109" s="338" t="s">
        <v>61</v>
      </c>
      <c r="F109" s="288" t="b">
        <f t="shared" si="3"/>
        <v>0</v>
      </c>
      <c r="M109" s="337"/>
      <c r="N109" s="337"/>
      <c r="O109" s="337"/>
      <c r="P109" s="337"/>
      <c r="Q109" s="337"/>
      <c r="R109" s="288"/>
    </row>
    <row r="110" spans="1:18" x14ac:dyDescent="0.2">
      <c r="A110" s="338">
        <v>131</v>
      </c>
      <c r="B110" s="338" t="s">
        <v>1001</v>
      </c>
      <c r="C110" s="338" t="s">
        <v>1006</v>
      </c>
      <c r="D110" s="338">
        <v>20390</v>
      </c>
      <c r="E110" s="338" t="s">
        <v>61</v>
      </c>
      <c r="F110" s="288" t="b">
        <f t="shared" si="3"/>
        <v>0</v>
      </c>
      <c r="M110" s="337"/>
      <c r="N110" s="337"/>
      <c r="O110" s="337"/>
      <c r="P110" s="337"/>
      <c r="Q110" s="337"/>
      <c r="R110" s="288"/>
    </row>
    <row r="111" spans="1:18" x14ac:dyDescent="0.2">
      <c r="A111" s="338">
        <v>407</v>
      </c>
      <c r="B111" s="338" t="s">
        <v>1330</v>
      </c>
      <c r="C111" s="338" t="s">
        <v>1332</v>
      </c>
      <c r="D111" s="338">
        <v>22905</v>
      </c>
      <c r="E111" s="338" t="s">
        <v>61</v>
      </c>
      <c r="F111" s="288" t="b">
        <f t="shared" si="3"/>
        <v>0</v>
      </c>
      <c r="M111" s="337"/>
      <c r="N111" s="337"/>
      <c r="O111" s="337"/>
      <c r="P111" s="337"/>
      <c r="Q111" s="337"/>
      <c r="R111" s="288"/>
    </row>
    <row r="112" spans="1:18" x14ac:dyDescent="0.2">
      <c r="A112" s="339">
        <v>407</v>
      </c>
      <c r="B112" s="339" t="s">
        <v>1330</v>
      </c>
      <c r="C112" s="339" t="s">
        <v>1333</v>
      </c>
      <c r="D112" s="339">
        <v>26600</v>
      </c>
      <c r="E112" s="339" t="s">
        <v>61</v>
      </c>
      <c r="F112" s="288" t="b">
        <f t="shared" si="3"/>
        <v>0</v>
      </c>
      <c r="M112" s="337"/>
      <c r="N112" s="337"/>
      <c r="O112" s="337"/>
      <c r="P112" s="337"/>
      <c r="Q112" s="337"/>
      <c r="R112" s="288"/>
    </row>
    <row r="113" spans="1:18" x14ac:dyDescent="0.2">
      <c r="A113" s="338">
        <v>335</v>
      </c>
      <c r="B113" s="338" t="s">
        <v>906</v>
      </c>
      <c r="C113" s="338" t="s">
        <v>1227</v>
      </c>
      <c r="D113" s="338">
        <v>21625</v>
      </c>
      <c r="E113" s="338" t="s">
        <v>61</v>
      </c>
      <c r="F113" s="288" t="b">
        <f t="shared" si="3"/>
        <v>0</v>
      </c>
      <c r="M113" s="337"/>
      <c r="N113" s="337"/>
      <c r="O113" s="337"/>
      <c r="P113" s="337"/>
      <c r="Q113" s="337"/>
      <c r="R113" s="288"/>
    </row>
    <row r="114" spans="1:18" x14ac:dyDescent="0.2">
      <c r="A114" s="339">
        <v>223</v>
      </c>
      <c r="B114" s="339" t="s">
        <v>1087</v>
      </c>
      <c r="C114" s="339" t="s">
        <v>1089</v>
      </c>
      <c r="D114" s="339">
        <v>22755</v>
      </c>
      <c r="E114" s="339" t="s">
        <v>61</v>
      </c>
      <c r="F114" s="288" t="b">
        <f t="shared" si="3"/>
        <v>0</v>
      </c>
      <c r="M114" s="337"/>
      <c r="N114" s="337"/>
      <c r="O114" s="337"/>
      <c r="P114" s="337"/>
      <c r="Q114" s="337"/>
      <c r="R114" s="288"/>
    </row>
    <row r="115" spans="1:18" x14ac:dyDescent="0.2">
      <c r="A115" s="339">
        <v>225</v>
      </c>
      <c r="B115" s="339" t="s">
        <v>1090</v>
      </c>
      <c r="C115" s="339" t="s">
        <v>1543</v>
      </c>
      <c r="D115" s="339">
        <v>20790</v>
      </c>
      <c r="E115" s="339" t="s">
        <v>61</v>
      </c>
      <c r="F115" s="288" t="b">
        <f t="shared" si="3"/>
        <v>0</v>
      </c>
      <c r="M115" s="337"/>
      <c r="N115" s="337"/>
      <c r="O115" s="337"/>
      <c r="P115" s="337"/>
      <c r="Q115" s="337"/>
      <c r="R115" s="288"/>
    </row>
    <row r="116" spans="1:18" x14ac:dyDescent="0.2">
      <c r="A116" s="338">
        <v>225</v>
      </c>
      <c r="B116" s="338" t="s">
        <v>1090</v>
      </c>
      <c r="C116" s="338" t="s">
        <v>1091</v>
      </c>
      <c r="D116" s="338">
        <v>20770</v>
      </c>
      <c r="E116" s="338" t="s">
        <v>61</v>
      </c>
      <c r="F116" s="288" t="b">
        <f t="shared" si="3"/>
        <v>0</v>
      </c>
      <c r="M116" s="337"/>
      <c r="N116" s="337"/>
      <c r="O116" s="337"/>
      <c r="P116" s="337"/>
      <c r="Q116" s="337"/>
      <c r="R116" s="288"/>
    </row>
    <row r="117" spans="1:18" x14ac:dyDescent="0.2">
      <c r="A117" s="339">
        <v>112</v>
      </c>
      <c r="B117" s="339" t="s">
        <v>978</v>
      </c>
      <c r="C117" s="339" t="s">
        <v>985</v>
      </c>
      <c r="D117" s="339">
        <v>22260</v>
      </c>
      <c r="E117" s="339" t="s">
        <v>61</v>
      </c>
      <c r="F117" s="288" t="b">
        <f t="shared" si="3"/>
        <v>0</v>
      </c>
      <c r="M117" s="337"/>
      <c r="N117" s="337"/>
      <c r="O117" s="337"/>
      <c r="P117" s="337"/>
      <c r="Q117" s="337"/>
      <c r="R117" s="288"/>
    </row>
    <row r="118" spans="1:18" x14ac:dyDescent="0.2">
      <c r="A118" s="339">
        <v>295</v>
      </c>
      <c r="B118" s="339" t="s">
        <v>1178</v>
      </c>
      <c r="C118" s="339" t="s">
        <v>1179</v>
      </c>
      <c r="D118" s="339">
        <v>21335</v>
      </c>
      <c r="E118" s="339" t="s">
        <v>61</v>
      </c>
      <c r="F118" s="288" t="b">
        <f t="shared" si="3"/>
        <v>0</v>
      </c>
      <c r="M118" s="337"/>
      <c r="N118" s="337"/>
      <c r="O118" s="337"/>
      <c r="P118" s="337"/>
      <c r="Q118" s="337"/>
      <c r="R118" s="288"/>
    </row>
    <row r="119" spans="1:18" x14ac:dyDescent="0.2">
      <c r="A119" s="338">
        <v>263</v>
      </c>
      <c r="B119" s="338" t="s">
        <v>1127</v>
      </c>
      <c r="C119" s="338" t="s">
        <v>1131</v>
      </c>
      <c r="D119" s="338">
        <v>20975</v>
      </c>
      <c r="E119" s="338" t="s">
        <v>61</v>
      </c>
      <c r="F119" s="288" t="b">
        <f t="shared" si="3"/>
        <v>0</v>
      </c>
      <c r="M119" s="337"/>
      <c r="N119" s="337"/>
      <c r="O119" s="337"/>
      <c r="P119" s="337"/>
      <c r="Q119" s="337"/>
      <c r="R119" s="288"/>
    </row>
    <row r="120" spans="1:18" x14ac:dyDescent="0.2">
      <c r="A120" s="339">
        <v>245</v>
      </c>
      <c r="B120" s="339" t="s">
        <v>1103</v>
      </c>
      <c r="C120" s="339" t="s">
        <v>1104</v>
      </c>
      <c r="D120" s="339">
        <v>20935</v>
      </c>
      <c r="E120" s="339" t="s">
        <v>61</v>
      </c>
      <c r="F120" s="288" t="b">
        <f t="shared" si="3"/>
        <v>0</v>
      </c>
      <c r="M120" s="337"/>
      <c r="N120" s="337"/>
      <c r="O120" s="337"/>
      <c r="P120" s="337"/>
      <c r="Q120" s="337"/>
      <c r="R120" s="288"/>
    </row>
    <row r="121" spans="1:18" x14ac:dyDescent="0.2">
      <c r="A121" s="338">
        <v>79</v>
      </c>
      <c r="B121" s="338" t="s">
        <v>956</v>
      </c>
      <c r="C121" s="338" t="s">
        <v>957</v>
      </c>
      <c r="D121" s="338">
        <v>20535</v>
      </c>
      <c r="E121" s="338" t="s">
        <v>61</v>
      </c>
      <c r="F121" s="288" t="b">
        <f t="shared" si="3"/>
        <v>0</v>
      </c>
      <c r="M121" s="337"/>
      <c r="N121" s="337"/>
      <c r="O121" s="337"/>
      <c r="P121" s="337"/>
      <c r="Q121" s="337"/>
      <c r="R121" s="288"/>
    </row>
    <row r="122" spans="1:18" x14ac:dyDescent="0.2">
      <c r="A122" s="339">
        <v>335</v>
      </c>
      <c r="B122" s="339" t="s">
        <v>906</v>
      </c>
      <c r="C122" s="339" t="s">
        <v>1610</v>
      </c>
      <c r="D122" s="339">
        <v>21640</v>
      </c>
      <c r="E122" s="339" t="s">
        <v>61</v>
      </c>
      <c r="F122" s="288" t="b">
        <f t="shared" si="3"/>
        <v>0</v>
      </c>
      <c r="M122" s="337"/>
      <c r="N122" s="337"/>
      <c r="O122" s="337"/>
      <c r="P122" s="337"/>
      <c r="Q122" s="337"/>
      <c r="R122" s="288"/>
    </row>
    <row r="123" spans="1:18" x14ac:dyDescent="0.2">
      <c r="A123" s="339">
        <v>175</v>
      </c>
      <c r="B123" s="339" t="s">
        <v>1047</v>
      </c>
      <c r="C123" s="339" t="s">
        <v>1050</v>
      </c>
      <c r="D123" s="339">
        <v>22055</v>
      </c>
      <c r="E123" s="339" t="s">
        <v>61</v>
      </c>
      <c r="F123" s="288" t="b">
        <f t="shared" si="3"/>
        <v>0</v>
      </c>
      <c r="M123" s="337"/>
      <c r="N123" s="337"/>
      <c r="O123" s="337"/>
      <c r="P123" s="337"/>
      <c r="Q123" s="337"/>
      <c r="R123" s="288"/>
    </row>
    <row r="124" spans="1:18" x14ac:dyDescent="0.2">
      <c r="A124" s="338">
        <v>357</v>
      </c>
      <c r="B124" s="338" t="s">
        <v>1265</v>
      </c>
      <c r="C124" s="338" t="s">
        <v>1268</v>
      </c>
      <c r="D124" s="338">
        <v>27895</v>
      </c>
      <c r="E124" s="338" t="s">
        <v>61</v>
      </c>
      <c r="F124" s="288" t="b">
        <f t="shared" si="3"/>
        <v>0</v>
      </c>
      <c r="M124" s="337"/>
      <c r="N124" s="337"/>
      <c r="O124" s="337"/>
      <c r="P124" s="337"/>
      <c r="Q124" s="337"/>
      <c r="R124" s="288"/>
    </row>
    <row r="125" spans="1:18" x14ac:dyDescent="0.2">
      <c r="A125" s="338">
        <v>342</v>
      </c>
      <c r="B125" s="338" t="s">
        <v>1235</v>
      </c>
      <c r="C125" s="338" t="s">
        <v>1238</v>
      </c>
      <c r="D125" s="338">
        <v>28990</v>
      </c>
      <c r="E125" s="338" t="s">
        <v>61</v>
      </c>
      <c r="F125" s="288" t="b">
        <f t="shared" si="3"/>
        <v>0</v>
      </c>
      <c r="M125" s="337"/>
      <c r="N125" s="337"/>
      <c r="O125" s="337"/>
      <c r="P125" s="337"/>
      <c r="Q125" s="337"/>
      <c r="R125" s="288"/>
    </row>
    <row r="126" spans="1:18" x14ac:dyDescent="0.2">
      <c r="A126" s="338">
        <v>335</v>
      </c>
      <c r="B126" s="338" t="s">
        <v>906</v>
      </c>
      <c r="C126" s="338" t="s">
        <v>1220</v>
      </c>
      <c r="D126" s="338">
        <v>21560</v>
      </c>
      <c r="E126" s="338" t="s">
        <v>61</v>
      </c>
      <c r="F126" s="288" t="b">
        <f t="shared" si="3"/>
        <v>0</v>
      </c>
    </row>
    <row r="127" spans="1:18" x14ac:dyDescent="0.2">
      <c r="A127" s="339">
        <v>267</v>
      </c>
      <c r="B127" s="339" t="s">
        <v>1132</v>
      </c>
      <c r="C127" s="339" t="s">
        <v>1136</v>
      </c>
      <c r="D127" s="339">
        <v>27900</v>
      </c>
      <c r="E127" s="339" t="s">
        <v>61</v>
      </c>
      <c r="F127" s="288" t="b">
        <f t="shared" si="3"/>
        <v>0</v>
      </c>
    </row>
    <row r="128" spans="1:18" x14ac:dyDescent="0.2">
      <c r="A128" s="339">
        <v>251</v>
      </c>
      <c r="B128" s="339" t="s">
        <v>1107</v>
      </c>
      <c r="C128" s="339" t="s">
        <v>1109</v>
      </c>
      <c r="D128" s="339">
        <v>20955</v>
      </c>
      <c r="E128" s="339" t="s">
        <v>61</v>
      </c>
      <c r="F128" s="288" t="b">
        <f t="shared" si="3"/>
        <v>0</v>
      </c>
    </row>
    <row r="129" spans="1:6" x14ac:dyDescent="0.2">
      <c r="A129" s="338">
        <v>255</v>
      </c>
      <c r="B129" s="338" t="s">
        <v>1111</v>
      </c>
      <c r="C129" s="338" t="s">
        <v>1113</v>
      </c>
      <c r="D129" s="338">
        <v>21680</v>
      </c>
      <c r="E129" s="338" t="s">
        <v>61</v>
      </c>
      <c r="F129" s="288" t="b">
        <f t="shared" si="3"/>
        <v>0</v>
      </c>
    </row>
    <row r="130" spans="1:6" x14ac:dyDescent="0.2">
      <c r="A130" s="339">
        <v>257</v>
      </c>
      <c r="B130" s="339" t="s">
        <v>1115</v>
      </c>
      <c r="C130" s="339" t="s">
        <v>1116</v>
      </c>
      <c r="D130" s="339">
        <v>22345</v>
      </c>
      <c r="E130" s="339" t="s">
        <v>61</v>
      </c>
      <c r="F130" s="288" t="b">
        <f t="shared" si="3"/>
        <v>0</v>
      </c>
    </row>
    <row r="131" spans="1:6" x14ac:dyDescent="0.2">
      <c r="A131" s="338">
        <v>259</v>
      </c>
      <c r="B131" s="338" t="s">
        <v>1117</v>
      </c>
      <c r="C131" s="338" t="s">
        <v>1119</v>
      </c>
      <c r="D131" s="338">
        <v>21815</v>
      </c>
      <c r="E131" s="338" t="s">
        <v>61</v>
      </c>
      <c r="F131" s="288" t="b">
        <f t="shared" si="3"/>
        <v>0</v>
      </c>
    </row>
    <row r="132" spans="1:6" x14ac:dyDescent="0.2">
      <c r="A132" s="339">
        <v>259</v>
      </c>
      <c r="B132" s="339" t="s">
        <v>1117</v>
      </c>
      <c r="C132" s="339" t="s">
        <v>1118</v>
      </c>
      <c r="D132" s="339">
        <v>27530</v>
      </c>
      <c r="E132" s="339" t="s">
        <v>61</v>
      </c>
      <c r="F132" s="288" t="b">
        <f t="shared" si="3"/>
        <v>0</v>
      </c>
    </row>
    <row r="133" spans="1:6" x14ac:dyDescent="0.2">
      <c r="A133" s="339">
        <v>261</v>
      </c>
      <c r="B133" s="339" t="s">
        <v>1123</v>
      </c>
      <c r="C133" s="339" t="s">
        <v>1124</v>
      </c>
      <c r="D133" s="339">
        <v>20540</v>
      </c>
      <c r="E133" s="339" t="s">
        <v>61</v>
      </c>
      <c r="F133" s="288" t="b">
        <f t="shared" ref="F133:F196" si="6">C133=C132</f>
        <v>0</v>
      </c>
    </row>
    <row r="134" spans="1:6" x14ac:dyDescent="0.2">
      <c r="A134" s="339">
        <v>141</v>
      </c>
      <c r="B134" s="339" t="s">
        <v>1009</v>
      </c>
      <c r="C134" s="339" t="s">
        <v>1012</v>
      </c>
      <c r="D134" s="339">
        <v>20445</v>
      </c>
      <c r="E134" s="339" t="s">
        <v>61</v>
      </c>
      <c r="F134" s="288" t="b">
        <f t="shared" si="6"/>
        <v>0</v>
      </c>
    </row>
    <row r="135" spans="1:6" x14ac:dyDescent="0.2">
      <c r="A135" s="339">
        <v>491</v>
      </c>
      <c r="B135" s="339" t="s">
        <v>1418</v>
      </c>
      <c r="C135" s="339" t="s">
        <v>1421</v>
      </c>
      <c r="D135" s="339">
        <v>29202</v>
      </c>
      <c r="E135" s="339" t="s">
        <v>61</v>
      </c>
      <c r="F135" s="288" t="b">
        <f t="shared" si="6"/>
        <v>0</v>
      </c>
    </row>
    <row r="136" spans="1:6" x14ac:dyDescent="0.2">
      <c r="A136" s="339">
        <v>343</v>
      </c>
      <c r="B136" s="339" t="s">
        <v>1239</v>
      </c>
      <c r="C136" s="339" t="s">
        <v>1243</v>
      </c>
      <c r="D136" s="339">
        <v>26405</v>
      </c>
      <c r="E136" s="339" t="s">
        <v>61</v>
      </c>
      <c r="F136" s="288" t="b">
        <f t="shared" si="6"/>
        <v>0</v>
      </c>
    </row>
    <row r="137" spans="1:6" x14ac:dyDescent="0.2">
      <c r="A137" s="339">
        <v>269</v>
      </c>
      <c r="B137" s="339" t="s">
        <v>1138</v>
      </c>
      <c r="C137" s="339" t="s">
        <v>1139</v>
      </c>
      <c r="D137" s="339">
        <v>29200</v>
      </c>
      <c r="E137" s="339" t="s">
        <v>61</v>
      </c>
      <c r="F137" s="288" t="b">
        <f t="shared" si="6"/>
        <v>0</v>
      </c>
    </row>
    <row r="138" spans="1:6" x14ac:dyDescent="0.2">
      <c r="A138" s="338">
        <v>269</v>
      </c>
      <c r="B138" s="338" t="s">
        <v>1138</v>
      </c>
      <c r="C138" s="338" t="s">
        <v>1140</v>
      </c>
      <c r="D138" s="338">
        <v>29201</v>
      </c>
      <c r="E138" s="338" t="s">
        <v>61</v>
      </c>
      <c r="F138" s="288" t="b">
        <f t="shared" si="6"/>
        <v>0</v>
      </c>
    </row>
    <row r="139" spans="1:6" x14ac:dyDescent="0.2">
      <c r="A139" s="338">
        <v>271</v>
      </c>
      <c r="B139" s="338" t="s">
        <v>1143</v>
      </c>
      <c r="C139" s="338" t="s">
        <v>1144</v>
      </c>
      <c r="D139" s="338">
        <v>20355</v>
      </c>
      <c r="E139" s="338" t="s">
        <v>61</v>
      </c>
      <c r="F139" s="288" t="b">
        <f t="shared" si="6"/>
        <v>0</v>
      </c>
    </row>
    <row r="140" spans="1:6" x14ac:dyDescent="0.2">
      <c r="A140" s="339">
        <v>357</v>
      </c>
      <c r="B140" s="339" t="s">
        <v>1265</v>
      </c>
      <c r="C140" s="339" t="s">
        <v>1269</v>
      </c>
      <c r="D140" s="339">
        <v>26580</v>
      </c>
      <c r="E140" s="339" t="s">
        <v>61</v>
      </c>
      <c r="F140" s="288" t="b">
        <f t="shared" si="6"/>
        <v>0</v>
      </c>
    </row>
    <row r="141" spans="1:6" x14ac:dyDescent="0.2">
      <c r="A141" s="339">
        <v>274</v>
      </c>
      <c r="B141" s="339" t="s">
        <v>1145</v>
      </c>
      <c r="C141" s="339" t="s">
        <v>1148</v>
      </c>
      <c r="D141" s="339">
        <v>22275</v>
      </c>
      <c r="E141" s="339" t="s">
        <v>61</v>
      </c>
      <c r="F141" s="288" t="b">
        <f t="shared" si="6"/>
        <v>0</v>
      </c>
    </row>
    <row r="142" spans="1:6" x14ac:dyDescent="0.2">
      <c r="A142" s="338">
        <v>503</v>
      </c>
      <c r="B142" s="338" t="s">
        <v>1431</v>
      </c>
      <c r="C142" s="338" t="s">
        <v>1432</v>
      </c>
      <c r="D142" s="338">
        <v>20980</v>
      </c>
      <c r="E142" s="338" t="s">
        <v>61</v>
      </c>
      <c r="F142" s="288" t="b">
        <f t="shared" si="6"/>
        <v>0</v>
      </c>
    </row>
    <row r="143" spans="1:6" x14ac:dyDescent="0.2">
      <c r="A143" s="338">
        <v>276</v>
      </c>
      <c r="B143" s="338" t="s">
        <v>1152</v>
      </c>
      <c r="C143" s="338" t="s">
        <v>1564</v>
      </c>
      <c r="D143" s="338">
        <v>26565</v>
      </c>
      <c r="E143" s="338" t="s">
        <v>1561</v>
      </c>
      <c r="F143" s="288" t="b">
        <f t="shared" si="6"/>
        <v>0</v>
      </c>
    </row>
    <row r="144" spans="1:6" x14ac:dyDescent="0.2">
      <c r="A144" s="339">
        <v>351</v>
      </c>
      <c r="B144" s="339" t="s">
        <v>1246</v>
      </c>
      <c r="C144" s="339" t="s">
        <v>1249</v>
      </c>
      <c r="D144" s="339">
        <v>21020</v>
      </c>
      <c r="E144" s="339" t="s">
        <v>61</v>
      </c>
      <c r="F144" s="288" t="b">
        <f t="shared" si="6"/>
        <v>0</v>
      </c>
    </row>
    <row r="145" spans="1:6" x14ac:dyDescent="0.2">
      <c r="A145" s="338">
        <v>351</v>
      </c>
      <c r="B145" s="338" t="s">
        <v>1246</v>
      </c>
      <c r="C145" s="338" t="s">
        <v>1250</v>
      </c>
      <c r="D145" s="338">
        <v>21025</v>
      </c>
      <c r="E145" s="338" t="s">
        <v>61</v>
      </c>
      <c r="F145" s="288" t="b">
        <f t="shared" si="6"/>
        <v>0</v>
      </c>
    </row>
    <row r="146" spans="1:6" x14ac:dyDescent="0.2">
      <c r="A146" s="338">
        <v>247</v>
      </c>
      <c r="B146" s="338" t="s">
        <v>1105</v>
      </c>
      <c r="C146" s="338" t="s">
        <v>1106</v>
      </c>
      <c r="D146" s="338">
        <v>20670</v>
      </c>
      <c r="E146" s="338" t="s">
        <v>61</v>
      </c>
      <c r="F146" s="288" t="b">
        <f t="shared" si="6"/>
        <v>0</v>
      </c>
    </row>
    <row r="147" spans="1:6" x14ac:dyDescent="0.2">
      <c r="A147" s="339">
        <v>335</v>
      </c>
      <c r="B147" s="339" t="s">
        <v>906</v>
      </c>
      <c r="C147" s="339" t="s">
        <v>1223</v>
      </c>
      <c r="D147" s="339">
        <v>21590</v>
      </c>
      <c r="E147" s="339" t="s">
        <v>61</v>
      </c>
      <c r="F147" s="288" t="b">
        <f t="shared" si="6"/>
        <v>0</v>
      </c>
    </row>
    <row r="148" spans="1:6" x14ac:dyDescent="0.2">
      <c r="A148" s="339">
        <v>341</v>
      </c>
      <c r="B148" s="339" t="s">
        <v>1233</v>
      </c>
      <c r="C148" s="339" t="s">
        <v>1234</v>
      </c>
      <c r="D148" s="339">
        <v>23000</v>
      </c>
      <c r="E148" s="339" t="s">
        <v>61</v>
      </c>
      <c r="F148" s="288" t="b">
        <f t="shared" si="6"/>
        <v>0</v>
      </c>
    </row>
    <row r="149" spans="1:6" x14ac:dyDescent="0.2">
      <c r="A149" s="338">
        <v>113</v>
      </c>
      <c r="B149" s="338" t="s">
        <v>990</v>
      </c>
      <c r="C149" s="338" t="s">
        <v>992</v>
      </c>
      <c r="D149" s="338">
        <v>20335</v>
      </c>
      <c r="E149" s="338" t="s">
        <v>61</v>
      </c>
      <c r="F149" s="288" t="b">
        <f t="shared" si="6"/>
        <v>0</v>
      </c>
    </row>
    <row r="150" spans="1:6" x14ac:dyDescent="0.2">
      <c r="A150" s="339">
        <v>279</v>
      </c>
      <c r="B150" s="339" t="s">
        <v>1159</v>
      </c>
      <c r="C150" s="339" t="s">
        <v>1565</v>
      </c>
      <c r="D150" s="339">
        <v>29180</v>
      </c>
      <c r="E150" s="339" t="s">
        <v>1561</v>
      </c>
      <c r="F150" s="288" t="b">
        <f t="shared" si="6"/>
        <v>0</v>
      </c>
    </row>
    <row r="151" spans="1:6" x14ac:dyDescent="0.2">
      <c r="A151" s="339">
        <v>35</v>
      </c>
      <c r="B151" s="339" t="s">
        <v>931</v>
      </c>
      <c r="C151" s="339" t="s">
        <v>932</v>
      </c>
      <c r="D151" s="339">
        <v>20325</v>
      </c>
      <c r="E151" s="339" t="s">
        <v>61</v>
      </c>
      <c r="F151" s="288" t="b">
        <f t="shared" si="6"/>
        <v>0</v>
      </c>
    </row>
    <row r="152" spans="1:6" x14ac:dyDescent="0.2">
      <c r="A152" s="339">
        <v>276</v>
      </c>
      <c r="B152" s="339" t="s">
        <v>1152</v>
      </c>
      <c r="C152" s="339" t="s">
        <v>1156</v>
      </c>
      <c r="D152" s="339">
        <v>21980</v>
      </c>
      <c r="E152" s="339" t="s">
        <v>61</v>
      </c>
      <c r="F152" s="288" t="b">
        <f t="shared" si="6"/>
        <v>0</v>
      </c>
    </row>
    <row r="153" spans="1:6" x14ac:dyDescent="0.2">
      <c r="A153" s="338">
        <v>276</v>
      </c>
      <c r="B153" s="338" t="s">
        <v>1152</v>
      </c>
      <c r="C153" s="338" t="s">
        <v>1157</v>
      </c>
      <c r="D153" s="338">
        <v>26530</v>
      </c>
      <c r="E153" s="338" t="s">
        <v>61</v>
      </c>
      <c r="F153" s="288" t="b">
        <f t="shared" si="6"/>
        <v>0</v>
      </c>
    </row>
    <row r="154" spans="1:6" x14ac:dyDescent="0.2">
      <c r="A154" s="339">
        <v>525</v>
      </c>
      <c r="B154" s="339" t="s">
        <v>1442</v>
      </c>
      <c r="C154" s="339" t="s">
        <v>1443</v>
      </c>
      <c r="D154" s="339">
        <v>20365</v>
      </c>
      <c r="E154" s="339" t="s">
        <v>61</v>
      </c>
      <c r="F154" s="288" t="b">
        <f t="shared" si="6"/>
        <v>0</v>
      </c>
    </row>
    <row r="155" spans="1:6" x14ac:dyDescent="0.2">
      <c r="A155" s="339">
        <v>281</v>
      </c>
      <c r="B155" s="339" t="s">
        <v>1166</v>
      </c>
      <c r="C155" s="339" t="s">
        <v>1167</v>
      </c>
      <c r="D155" s="339">
        <v>20605</v>
      </c>
      <c r="E155" s="339" t="s">
        <v>61</v>
      </c>
      <c r="F155" s="288" t="b">
        <f t="shared" si="6"/>
        <v>0</v>
      </c>
    </row>
    <row r="156" spans="1:6" x14ac:dyDescent="0.2">
      <c r="A156" s="339">
        <v>288</v>
      </c>
      <c r="B156" s="339" t="s">
        <v>1174</v>
      </c>
      <c r="C156" s="339" t="s">
        <v>1175</v>
      </c>
      <c r="D156" s="339">
        <v>21405</v>
      </c>
      <c r="E156" s="339" t="s">
        <v>61</v>
      </c>
      <c r="F156" s="288" t="b">
        <f t="shared" si="6"/>
        <v>0</v>
      </c>
    </row>
    <row r="157" spans="1:6" x14ac:dyDescent="0.2">
      <c r="A157" s="338">
        <v>453</v>
      </c>
      <c r="B157" s="338" t="s">
        <v>1375</v>
      </c>
      <c r="C157" s="338" t="s">
        <v>1376</v>
      </c>
      <c r="D157" s="338">
        <v>21385</v>
      </c>
      <c r="E157" s="338" t="s">
        <v>61</v>
      </c>
      <c r="F157" s="288" t="b">
        <f t="shared" si="6"/>
        <v>0</v>
      </c>
    </row>
    <row r="158" spans="1:6" x14ac:dyDescent="0.2">
      <c r="A158" s="338">
        <v>568</v>
      </c>
      <c r="B158" s="338" t="s">
        <v>1471</v>
      </c>
      <c r="C158" s="338" t="s">
        <v>1473</v>
      </c>
      <c r="D158" s="338">
        <v>21475</v>
      </c>
      <c r="E158" s="338" t="s">
        <v>61</v>
      </c>
      <c r="F158" s="288" t="b">
        <f t="shared" si="6"/>
        <v>0</v>
      </c>
    </row>
    <row r="159" spans="1:6" x14ac:dyDescent="0.2">
      <c r="A159" s="338">
        <v>291</v>
      </c>
      <c r="B159" s="338" t="s">
        <v>1176</v>
      </c>
      <c r="C159" s="338" t="s">
        <v>1177</v>
      </c>
      <c r="D159" s="338">
        <v>21410</v>
      </c>
      <c r="E159" s="338" t="s">
        <v>61</v>
      </c>
      <c r="F159" s="288" t="b">
        <f t="shared" si="6"/>
        <v>0</v>
      </c>
    </row>
    <row r="160" spans="1:6" x14ac:dyDescent="0.2">
      <c r="A160" s="338">
        <v>371</v>
      </c>
      <c r="B160" s="338" t="s">
        <v>1286</v>
      </c>
      <c r="C160" s="338" t="s">
        <v>1298</v>
      </c>
      <c r="D160" s="338">
        <v>21915</v>
      </c>
      <c r="E160" s="338" t="s">
        <v>61</v>
      </c>
      <c r="F160" s="288" t="b">
        <f t="shared" si="6"/>
        <v>0</v>
      </c>
    </row>
    <row r="161" spans="1:6" x14ac:dyDescent="0.2">
      <c r="A161" s="339">
        <v>299</v>
      </c>
      <c r="B161" s="339" t="s">
        <v>1183</v>
      </c>
      <c r="C161" s="339" t="s">
        <v>1184</v>
      </c>
      <c r="D161" s="339">
        <v>29169</v>
      </c>
      <c r="E161" s="339" t="s">
        <v>61</v>
      </c>
      <c r="F161" s="288" t="b">
        <f t="shared" si="6"/>
        <v>0</v>
      </c>
    </row>
    <row r="162" spans="1:6" x14ac:dyDescent="0.2">
      <c r="A162" s="339">
        <v>227</v>
      </c>
      <c r="B162" s="339" t="s">
        <v>1093</v>
      </c>
      <c r="C162" s="339" t="s">
        <v>1094</v>
      </c>
      <c r="D162" s="339">
        <v>20800</v>
      </c>
      <c r="E162" s="339" t="s">
        <v>61</v>
      </c>
      <c r="F162" s="288" t="b">
        <f t="shared" si="6"/>
        <v>0</v>
      </c>
    </row>
    <row r="163" spans="1:6" x14ac:dyDescent="0.2">
      <c r="A163" s="339">
        <v>173</v>
      </c>
      <c r="B163" s="339" t="s">
        <v>1032</v>
      </c>
      <c r="C163" s="339" t="s">
        <v>1034</v>
      </c>
      <c r="D163" s="339">
        <v>20595</v>
      </c>
      <c r="E163" s="339" t="s">
        <v>61</v>
      </c>
      <c r="F163" s="288" t="b">
        <f t="shared" si="6"/>
        <v>0</v>
      </c>
    </row>
    <row r="164" spans="1:6" x14ac:dyDescent="0.2">
      <c r="A164" s="338">
        <v>305</v>
      </c>
      <c r="B164" s="338" t="s">
        <v>1185</v>
      </c>
      <c r="C164" s="338" t="s">
        <v>1188</v>
      </c>
      <c r="D164" s="338">
        <v>20880</v>
      </c>
      <c r="E164" s="338" t="s">
        <v>61</v>
      </c>
      <c r="F164" s="288" t="b">
        <f t="shared" si="6"/>
        <v>0</v>
      </c>
    </row>
    <row r="165" spans="1:6" x14ac:dyDescent="0.2">
      <c r="A165" s="339">
        <v>306</v>
      </c>
      <c r="B165" s="339" t="s">
        <v>1189</v>
      </c>
      <c r="C165" s="339" t="s">
        <v>1190</v>
      </c>
      <c r="D165" s="339">
        <v>21420</v>
      </c>
      <c r="E165" s="339" t="s">
        <v>61</v>
      </c>
      <c r="F165" s="288" t="b">
        <f t="shared" si="6"/>
        <v>0</v>
      </c>
    </row>
    <row r="166" spans="1:6" x14ac:dyDescent="0.2">
      <c r="A166" s="339">
        <v>449</v>
      </c>
      <c r="B166" s="339" t="s">
        <v>1366</v>
      </c>
      <c r="C166" s="339" t="s">
        <v>1368</v>
      </c>
      <c r="D166" s="339">
        <v>22515</v>
      </c>
      <c r="E166" s="339" t="s">
        <v>61</v>
      </c>
      <c r="F166" s="288" t="b">
        <f t="shared" si="6"/>
        <v>0</v>
      </c>
    </row>
    <row r="167" spans="1:6" x14ac:dyDescent="0.2">
      <c r="A167" s="338">
        <v>352</v>
      </c>
      <c r="B167" s="338" t="s">
        <v>1253</v>
      </c>
      <c r="C167" s="338" t="s">
        <v>1256</v>
      </c>
      <c r="D167" s="338">
        <v>22180</v>
      </c>
      <c r="E167" s="338" t="s">
        <v>61</v>
      </c>
      <c r="F167" s="288" t="b">
        <f t="shared" si="6"/>
        <v>0</v>
      </c>
    </row>
    <row r="168" spans="1:6" x14ac:dyDescent="0.2">
      <c r="A168" s="338">
        <v>327</v>
      </c>
      <c r="B168" s="338" t="s">
        <v>1208</v>
      </c>
      <c r="C168" s="338" t="s">
        <v>1209</v>
      </c>
      <c r="D168" s="338">
        <v>20835</v>
      </c>
      <c r="E168" s="338" t="s">
        <v>61</v>
      </c>
      <c r="F168" s="288" t="b">
        <f t="shared" si="6"/>
        <v>0</v>
      </c>
    </row>
    <row r="169" spans="1:6" x14ac:dyDescent="0.2">
      <c r="A169" s="339">
        <v>572</v>
      </c>
      <c r="B169" s="339" t="s">
        <v>1475</v>
      </c>
      <c r="C169" s="339" t="s">
        <v>1476</v>
      </c>
      <c r="D169" s="339">
        <v>23035</v>
      </c>
      <c r="E169" s="339" t="s">
        <v>61</v>
      </c>
      <c r="F169" s="288" t="b">
        <f t="shared" si="6"/>
        <v>0</v>
      </c>
    </row>
    <row r="170" spans="1:6" x14ac:dyDescent="0.2">
      <c r="A170" s="339">
        <v>333</v>
      </c>
      <c r="B170" s="339" t="s">
        <v>1210</v>
      </c>
      <c r="C170" s="339" t="s">
        <v>1211</v>
      </c>
      <c r="D170" s="339">
        <v>20360</v>
      </c>
      <c r="E170" s="339" t="s">
        <v>61</v>
      </c>
      <c r="F170" s="288" t="b">
        <f t="shared" si="6"/>
        <v>0</v>
      </c>
    </row>
    <row r="171" spans="1:6" x14ac:dyDescent="0.2">
      <c r="A171" s="339">
        <v>371</v>
      </c>
      <c r="B171" s="339" t="s">
        <v>1286</v>
      </c>
      <c r="C171" s="339" t="s">
        <v>1301</v>
      </c>
      <c r="D171" s="339">
        <v>21935</v>
      </c>
      <c r="E171" s="339" t="s">
        <v>61</v>
      </c>
      <c r="F171" s="288" t="b">
        <f t="shared" si="6"/>
        <v>0</v>
      </c>
    </row>
    <row r="172" spans="1:6" x14ac:dyDescent="0.2">
      <c r="A172" s="338">
        <v>173</v>
      </c>
      <c r="B172" s="338" t="s">
        <v>1032</v>
      </c>
      <c r="C172" s="338" t="s">
        <v>1033</v>
      </c>
      <c r="D172" s="338">
        <v>20575</v>
      </c>
      <c r="E172" s="338" t="s">
        <v>61</v>
      </c>
      <c r="F172" s="288" t="b">
        <f t="shared" si="6"/>
        <v>0</v>
      </c>
    </row>
    <row r="173" spans="1:6" x14ac:dyDescent="0.2">
      <c r="A173" s="338">
        <v>101</v>
      </c>
      <c r="B173" s="338" t="s">
        <v>964</v>
      </c>
      <c r="C173" s="338" t="s">
        <v>1642</v>
      </c>
      <c r="D173" s="338">
        <v>20160</v>
      </c>
      <c r="E173" s="338" t="s">
        <v>61</v>
      </c>
      <c r="F173" s="288" t="b">
        <f t="shared" si="6"/>
        <v>0</v>
      </c>
    </row>
    <row r="174" spans="1:6" x14ac:dyDescent="0.2">
      <c r="A174" s="339">
        <v>199</v>
      </c>
      <c r="B174" s="339" t="s">
        <v>1065</v>
      </c>
      <c r="C174" s="339" t="s">
        <v>1641</v>
      </c>
      <c r="D174" s="339">
        <v>20690</v>
      </c>
      <c r="E174" s="339" t="s">
        <v>61</v>
      </c>
      <c r="F174" s="288" t="b">
        <f t="shared" si="6"/>
        <v>0</v>
      </c>
    </row>
    <row r="175" spans="1:6" x14ac:dyDescent="0.2">
      <c r="A175" s="339">
        <v>263</v>
      </c>
      <c r="B175" s="339" t="s">
        <v>1127</v>
      </c>
      <c r="C175" s="339" t="s">
        <v>1129</v>
      </c>
      <c r="D175" s="339">
        <v>20965</v>
      </c>
      <c r="E175" s="339" t="s">
        <v>61</v>
      </c>
      <c r="F175" s="288" t="b">
        <f t="shared" si="6"/>
        <v>0</v>
      </c>
    </row>
    <row r="176" spans="1:6" x14ac:dyDescent="0.2">
      <c r="A176" s="339">
        <v>461</v>
      </c>
      <c r="B176" s="339" t="s">
        <v>1379</v>
      </c>
      <c r="C176" s="339" t="s">
        <v>1390</v>
      </c>
      <c r="D176" s="339">
        <v>29080</v>
      </c>
      <c r="E176" s="339" t="s">
        <v>61</v>
      </c>
      <c r="F176" s="288" t="b">
        <f t="shared" si="6"/>
        <v>0</v>
      </c>
    </row>
    <row r="177" spans="1:6" x14ac:dyDescent="0.2">
      <c r="A177" s="338">
        <v>491</v>
      </c>
      <c r="B177" s="338" t="s">
        <v>1418</v>
      </c>
      <c r="C177" s="338" t="s">
        <v>1422</v>
      </c>
      <c r="D177" s="338">
        <v>29203</v>
      </c>
      <c r="E177" s="338" t="s">
        <v>61</v>
      </c>
      <c r="F177" s="288" t="b">
        <f t="shared" si="6"/>
        <v>0</v>
      </c>
    </row>
    <row r="178" spans="1:6" x14ac:dyDescent="0.2">
      <c r="A178" s="338">
        <v>339</v>
      </c>
      <c r="B178" s="338" t="s">
        <v>1231</v>
      </c>
      <c r="C178" s="338" t="s">
        <v>1232</v>
      </c>
      <c r="D178" s="338">
        <v>21210</v>
      </c>
      <c r="E178" s="338" t="s">
        <v>61</v>
      </c>
      <c r="F178" s="288" t="b">
        <f t="shared" si="6"/>
        <v>0</v>
      </c>
    </row>
    <row r="179" spans="1:6" x14ac:dyDescent="0.2">
      <c r="A179" s="339">
        <v>473</v>
      </c>
      <c r="B179" s="339" t="s">
        <v>1398</v>
      </c>
      <c r="C179" s="339" t="s">
        <v>1402</v>
      </c>
      <c r="D179" s="339">
        <v>22875</v>
      </c>
      <c r="E179" s="339" t="s">
        <v>61</v>
      </c>
      <c r="F179" s="288" t="b">
        <f t="shared" si="6"/>
        <v>0</v>
      </c>
    </row>
    <row r="180" spans="1:6" x14ac:dyDescent="0.2">
      <c r="A180" s="338">
        <v>449</v>
      </c>
      <c r="B180" s="338" t="s">
        <v>1366</v>
      </c>
      <c r="C180" s="338" t="s">
        <v>1370</v>
      </c>
      <c r="D180" s="338">
        <v>22545</v>
      </c>
      <c r="E180" s="338" t="s">
        <v>61</v>
      </c>
      <c r="F180" s="288" t="b">
        <f t="shared" si="6"/>
        <v>0</v>
      </c>
    </row>
    <row r="181" spans="1:6" x14ac:dyDescent="0.2">
      <c r="A181" s="338">
        <v>345</v>
      </c>
      <c r="B181" s="338" t="s">
        <v>1244</v>
      </c>
      <c r="C181" s="338" t="s">
        <v>1245</v>
      </c>
      <c r="D181" s="338">
        <v>23040</v>
      </c>
      <c r="E181" s="338" t="s">
        <v>61</v>
      </c>
      <c r="F181" s="288" t="b">
        <f t="shared" si="6"/>
        <v>0</v>
      </c>
    </row>
    <row r="182" spans="1:6" x14ac:dyDescent="0.2">
      <c r="A182" s="338">
        <v>423</v>
      </c>
      <c r="B182" s="338" t="s">
        <v>1338</v>
      </c>
      <c r="C182" s="338" t="s">
        <v>1342</v>
      </c>
      <c r="D182" s="338">
        <v>22805</v>
      </c>
      <c r="E182" s="338" t="s">
        <v>61</v>
      </c>
      <c r="F182" s="288" t="b">
        <f t="shared" si="6"/>
        <v>0</v>
      </c>
    </row>
    <row r="183" spans="1:6" x14ac:dyDescent="0.2">
      <c r="A183" s="338">
        <v>319</v>
      </c>
      <c r="B183" s="338" t="s">
        <v>1201</v>
      </c>
      <c r="C183" s="338" t="s">
        <v>1206</v>
      </c>
      <c r="D183" s="338">
        <v>20485</v>
      </c>
      <c r="E183" s="338" t="s">
        <v>61</v>
      </c>
      <c r="F183" s="288" t="b">
        <f t="shared" si="6"/>
        <v>0</v>
      </c>
    </row>
    <row r="184" spans="1:6" x14ac:dyDescent="0.2">
      <c r="A184" s="339">
        <v>381</v>
      </c>
      <c r="B184" s="339" t="s">
        <v>1308</v>
      </c>
      <c r="C184" s="339" t="s">
        <v>1309</v>
      </c>
      <c r="D184" s="339">
        <v>22455</v>
      </c>
      <c r="E184" s="339" t="s">
        <v>61</v>
      </c>
      <c r="F184" s="288" t="b">
        <f t="shared" si="6"/>
        <v>0</v>
      </c>
    </row>
    <row r="185" spans="1:6" x14ac:dyDescent="0.2">
      <c r="A185" s="338">
        <v>461</v>
      </c>
      <c r="B185" s="338" t="s">
        <v>1379</v>
      </c>
      <c r="C185" s="338" t="s">
        <v>1382</v>
      </c>
      <c r="D185" s="338">
        <v>22665</v>
      </c>
      <c r="E185" s="338" t="s">
        <v>61</v>
      </c>
      <c r="F185" s="288" t="b">
        <f t="shared" si="6"/>
        <v>0</v>
      </c>
    </row>
    <row r="186" spans="1:6" x14ac:dyDescent="0.2">
      <c r="A186" s="338">
        <v>335</v>
      </c>
      <c r="B186" s="338" t="s">
        <v>906</v>
      </c>
      <c r="C186" s="338" t="s">
        <v>1221</v>
      </c>
      <c r="D186" s="338">
        <v>21565</v>
      </c>
      <c r="E186" s="338" t="s">
        <v>61</v>
      </c>
      <c r="F186" s="288" t="b">
        <f t="shared" si="6"/>
        <v>0</v>
      </c>
    </row>
    <row r="187" spans="1:6" x14ac:dyDescent="0.2">
      <c r="A187" s="339">
        <v>41</v>
      </c>
      <c r="B187" s="339" t="s">
        <v>935</v>
      </c>
      <c r="C187" s="339" t="s">
        <v>937</v>
      </c>
      <c r="D187" s="339">
        <v>21005</v>
      </c>
      <c r="E187" s="339" t="s">
        <v>61</v>
      </c>
      <c r="F187" s="288" t="b">
        <f t="shared" si="6"/>
        <v>0</v>
      </c>
    </row>
    <row r="188" spans="1:6" x14ac:dyDescent="0.2">
      <c r="A188" s="338">
        <v>41</v>
      </c>
      <c r="B188" s="338" t="s">
        <v>935</v>
      </c>
      <c r="C188" s="338" t="s">
        <v>1643</v>
      </c>
      <c r="D188" s="338">
        <v>20990</v>
      </c>
      <c r="E188" s="338" t="s">
        <v>61</v>
      </c>
      <c r="F188" s="288" t="b">
        <f t="shared" si="6"/>
        <v>0</v>
      </c>
    </row>
    <row r="189" spans="1:6" x14ac:dyDescent="0.2">
      <c r="A189" s="338">
        <v>476</v>
      </c>
      <c r="B189" s="338" t="s">
        <v>1406</v>
      </c>
      <c r="C189" s="338" t="s">
        <v>1644</v>
      </c>
      <c r="D189" s="338">
        <v>20635</v>
      </c>
      <c r="E189" s="338" t="s">
        <v>61</v>
      </c>
      <c r="F189" s="288" t="b">
        <f t="shared" si="6"/>
        <v>0</v>
      </c>
    </row>
    <row r="190" spans="1:6" x14ac:dyDescent="0.2">
      <c r="A190" s="338">
        <v>744</v>
      </c>
      <c r="B190" s="338" t="s">
        <v>1611</v>
      </c>
      <c r="C190" s="338" t="s">
        <v>1611</v>
      </c>
      <c r="D190" s="338">
        <v>29167</v>
      </c>
      <c r="E190" s="338" t="s">
        <v>61</v>
      </c>
      <c r="F190" s="288" t="b">
        <f t="shared" si="6"/>
        <v>0</v>
      </c>
    </row>
    <row r="191" spans="1:6" x14ac:dyDescent="0.2">
      <c r="A191" s="338">
        <v>353</v>
      </c>
      <c r="B191" s="338" t="s">
        <v>1261</v>
      </c>
      <c r="C191" s="338" t="s">
        <v>1262</v>
      </c>
      <c r="D191" s="338">
        <v>29178</v>
      </c>
      <c r="E191" s="338" t="s">
        <v>61</v>
      </c>
      <c r="F191" s="288" t="b">
        <f t="shared" si="6"/>
        <v>0</v>
      </c>
    </row>
    <row r="192" spans="1:6" x14ac:dyDescent="0.2">
      <c r="A192" s="339">
        <v>355</v>
      </c>
      <c r="B192" s="339" t="s">
        <v>1263</v>
      </c>
      <c r="C192" s="339" t="s">
        <v>1264</v>
      </c>
      <c r="D192" s="339">
        <v>20760</v>
      </c>
      <c r="E192" s="339" t="s">
        <v>61</v>
      </c>
      <c r="F192" s="288" t="b">
        <f t="shared" si="6"/>
        <v>0</v>
      </c>
    </row>
    <row r="193" spans="1:6" x14ac:dyDescent="0.2">
      <c r="A193" s="339">
        <v>317</v>
      </c>
      <c r="B193" s="339" t="s">
        <v>1197</v>
      </c>
      <c r="C193" s="339" t="s">
        <v>1200</v>
      </c>
      <c r="D193" s="339">
        <v>21450</v>
      </c>
      <c r="E193" s="339" t="s">
        <v>61</v>
      </c>
      <c r="F193" s="288" t="b">
        <f t="shared" si="6"/>
        <v>0</v>
      </c>
    </row>
    <row r="194" spans="1:6" x14ac:dyDescent="0.2">
      <c r="A194" s="338">
        <v>111</v>
      </c>
      <c r="B194" s="338" t="s">
        <v>970</v>
      </c>
      <c r="C194" s="338" t="s">
        <v>973</v>
      </c>
      <c r="D194" s="338">
        <v>20250</v>
      </c>
      <c r="E194" s="338" t="s">
        <v>61</v>
      </c>
      <c r="F194" s="288" t="b">
        <f t="shared" si="6"/>
        <v>0</v>
      </c>
    </row>
    <row r="195" spans="1:6" x14ac:dyDescent="0.2">
      <c r="A195" s="339">
        <v>729</v>
      </c>
      <c r="B195" s="339" t="s">
        <v>1519</v>
      </c>
      <c r="C195" s="339" t="s">
        <v>1519</v>
      </c>
      <c r="D195" s="339">
        <v>29040</v>
      </c>
      <c r="E195" s="339" t="s">
        <v>61</v>
      </c>
      <c r="F195" s="288" t="b">
        <f t="shared" si="6"/>
        <v>0</v>
      </c>
    </row>
    <row r="196" spans="1:6" x14ac:dyDescent="0.2">
      <c r="A196" s="338">
        <v>359</v>
      </c>
      <c r="B196" s="338" t="s">
        <v>1270</v>
      </c>
      <c r="C196" s="338" t="s">
        <v>1273</v>
      </c>
      <c r="D196" s="338">
        <v>22075</v>
      </c>
      <c r="E196" s="338" t="s">
        <v>61</v>
      </c>
      <c r="F196" s="288" t="b">
        <f t="shared" si="6"/>
        <v>0</v>
      </c>
    </row>
    <row r="197" spans="1:6" x14ac:dyDescent="0.2">
      <c r="A197" s="339">
        <v>423</v>
      </c>
      <c r="B197" s="339" t="s">
        <v>1338</v>
      </c>
      <c r="C197" s="339" t="s">
        <v>1339</v>
      </c>
      <c r="D197" s="339">
        <v>26660</v>
      </c>
      <c r="E197" s="339" t="s">
        <v>61</v>
      </c>
      <c r="F197" s="288" t="b">
        <f t="shared" ref="F197:F260" si="7">C197=C196</f>
        <v>0</v>
      </c>
    </row>
    <row r="198" spans="1:6" x14ac:dyDescent="0.2">
      <c r="A198" s="338">
        <v>365</v>
      </c>
      <c r="B198" s="338" t="s">
        <v>1279</v>
      </c>
      <c r="C198" s="338" t="s">
        <v>1280</v>
      </c>
      <c r="D198" s="338">
        <v>20885</v>
      </c>
      <c r="E198" s="338" t="s">
        <v>61</v>
      </c>
      <c r="F198" s="288" t="b">
        <f t="shared" si="7"/>
        <v>0</v>
      </c>
    </row>
    <row r="199" spans="1:6" x14ac:dyDescent="0.2">
      <c r="A199" s="339">
        <v>367</v>
      </c>
      <c r="B199" s="339" t="s">
        <v>1281</v>
      </c>
      <c r="C199" s="339" t="s">
        <v>1282</v>
      </c>
      <c r="D199" s="339">
        <v>21790</v>
      </c>
      <c r="E199" s="339" t="s">
        <v>61</v>
      </c>
      <c r="F199" s="288" t="b">
        <f t="shared" si="7"/>
        <v>0</v>
      </c>
    </row>
    <row r="200" spans="1:6" x14ac:dyDescent="0.2">
      <c r="A200" s="339">
        <v>319</v>
      </c>
      <c r="B200" s="339" t="s">
        <v>1201</v>
      </c>
      <c r="C200" s="339" t="s">
        <v>1202</v>
      </c>
      <c r="D200" s="339">
        <v>27905</v>
      </c>
      <c r="E200" s="339" t="s">
        <v>61</v>
      </c>
      <c r="F200" s="288" t="b">
        <f t="shared" si="7"/>
        <v>0</v>
      </c>
    </row>
    <row r="201" spans="1:6" x14ac:dyDescent="0.2">
      <c r="A201" s="338">
        <v>369</v>
      </c>
      <c r="B201" s="338" t="s">
        <v>1283</v>
      </c>
      <c r="C201" s="338" t="s">
        <v>1284</v>
      </c>
      <c r="D201" s="338">
        <v>22115</v>
      </c>
      <c r="E201" s="338" t="s">
        <v>61</v>
      </c>
      <c r="F201" s="288" t="b">
        <f t="shared" si="7"/>
        <v>0</v>
      </c>
    </row>
    <row r="202" spans="1:6" x14ac:dyDescent="0.2">
      <c r="A202" s="338">
        <v>704</v>
      </c>
      <c r="B202" s="338" t="s">
        <v>1498</v>
      </c>
      <c r="C202" s="338" t="s">
        <v>1498</v>
      </c>
      <c r="D202" s="338">
        <v>29154</v>
      </c>
      <c r="E202" s="338" t="s">
        <v>61</v>
      </c>
      <c r="F202" s="288" t="b">
        <f t="shared" si="7"/>
        <v>0</v>
      </c>
    </row>
    <row r="203" spans="1:6" x14ac:dyDescent="0.2">
      <c r="A203" s="338">
        <v>363</v>
      </c>
      <c r="B203" s="338" t="s">
        <v>1274</v>
      </c>
      <c r="C203" s="338" t="s">
        <v>1612</v>
      </c>
      <c r="D203" s="338">
        <v>21695</v>
      </c>
      <c r="E203" s="338" t="s">
        <v>61</v>
      </c>
      <c r="F203" s="288" t="b">
        <f t="shared" si="7"/>
        <v>0</v>
      </c>
    </row>
    <row r="204" spans="1:6" x14ac:dyDescent="0.2">
      <c r="A204" s="338">
        <v>295</v>
      </c>
      <c r="B204" s="338" t="s">
        <v>1178</v>
      </c>
      <c r="C204" s="338" t="s">
        <v>1180</v>
      </c>
      <c r="D204" s="338">
        <v>21355</v>
      </c>
      <c r="E204" s="338" t="s">
        <v>61</v>
      </c>
      <c r="F204" s="288" t="b">
        <f t="shared" si="7"/>
        <v>0</v>
      </c>
    </row>
    <row r="205" spans="1:6" x14ac:dyDescent="0.2">
      <c r="A205" s="338">
        <v>371</v>
      </c>
      <c r="B205" s="338" t="s">
        <v>1286</v>
      </c>
      <c r="C205" s="338" t="s">
        <v>1295</v>
      </c>
      <c r="D205" s="338">
        <v>21885</v>
      </c>
      <c r="E205" s="338" t="s">
        <v>61</v>
      </c>
      <c r="F205" s="288" t="b">
        <f t="shared" si="7"/>
        <v>0</v>
      </c>
    </row>
    <row r="206" spans="1:6" x14ac:dyDescent="0.2">
      <c r="A206" s="339">
        <v>174</v>
      </c>
      <c r="B206" s="339" t="s">
        <v>1035</v>
      </c>
      <c r="C206" s="339" t="s">
        <v>1040</v>
      </c>
      <c r="D206" s="339">
        <v>22980</v>
      </c>
      <c r="E206" s="339" t="s">
        <v>61</v>
      </c>
      <c r="F206" s="288" t="b">
        <f t="shared" si="7"/>
        <v>0</v>
      </c>
    </row>
    <row r="207" spans="1:6" x14ac:dyDescent="0.2">
      <c r="A207" s="339">
        <v>461</v>
      </c>
      <c r="B207" s="339" t="s">
        <v>1379</v>
      </c>
      <c r="C207" s="339" t="s">
        <v>1381</v>
      </c>
      <c r="D207" s="339">
        <v>22660</v>
      </c>
      <c r="E207" s="339" t="s">
        <v>61</v>
      </c>
      <c r="F207" s="288" t="b">
        <f t="shared" si="7"/>
        <v>0</v>
      </c>
    </row>
    <row r="208" spans="1:6" x14ac:dyDescent="0.2">
      <c r="A208" s="338">
        <v>371</v>
      </c>
      <c r="B208" s="338" t="s">
        <v>1286</v>
      </c>
      <c r="C208" s="338" t="s">
        <v>1566</v>
      </c>
      <c r="D208" s="338">
        <v>29152</v>
      </c>
      <c r="E208" s="338" t="s">
        <v>1561</v>
      </c>
      <c r="F208" s="288" t="b">
        <f t="shared" si="7"/>
        <v>0</v>
      </c>
    </row>
    <row r="209" spans="1:6" x14ac:dyDescent="0.2">
      <c r="A209" s="339">
        <v>375</v>
      </c>
      <c r="B209" s="339" t="s">
        <v>1304</v>
      </c>
      <c r="C209" s="339" t="s">
        <v>1305</v>
      </c>
      <c r="D209" s="339">
        <v>21215</v>
      </c>
      <c r="E209" s="339" t="s">
        <v>61</v>
      </c>
      <c r="F209" s="288" t="b">
        <f t="shared" si="7"/>
        <v>0</v>
      </c>
    </row>
    <row r="210" spans="1:6" x14ac:dyDescent="0.2">
      <c r="A210" s="338">
        <v>377</v>
      </c>
      <c r="B210" s="338" t="s">
        <v>1306</v>
      </c>
      <c r="C210" s="338" t="s">
        <v>1307</v>
      </c>
      <c r="D210" s="338">
        <v>20715</v>
      </c>
      <c r="E210" s="338" t="s">
        <v>61</v>
      </c>
      <c r="F210" s="288" t="b">
        <f t="shared" si="7"/>
        <v>0</v>
      </c>
    </row>
    <row r="211" spans="1:6" x14ac:dyDescent="0.2">
      <c r="A211" s="338">
        <v>208</v>
      </c>
      <c r="B211" s="338" t="s">
        <v>1074</v>
      </c>
      <c r="C211" s="338" t="s">
        <v>1076</v>
      </c>
      <c r="D211" s="338">
        <v>22400</v>
      </c>
      <c r="E211" s="338" t="s">
        <v>61</v>
      </c>
      <c r="F211" s="288" t="b">
        <f t="shared" si="7"/>
        <v>0</v>
      </c>
    </row>
    <row r="212" spans="1:6" x14ac:dyDescent="0.2">
      <c r="A212" s="339">
        <v>449</v>
      </c>
      <c r="B212" s="339" t="s">
        <v>1366</v>
      </c>
      <c r="C212" s="339" t="s">
        <v>1369</v>
      </c>
      <c r="D212" s="339">
        <v>22525</v>
      </c>
      <c r="E212" s="339" t="s">
        <v>61</v>
      </c>
      <c r="F212" s="288" t="b">
        <f t="shared" si="7"/>
        <v>0</v>
      </c>
    </row>
    <row r="213" spans="1:6" x14ac:dyDescent="0.2">
      <c r="A213" s="338">
        <v>388</v>
      </c>
      <c r="B213" s="338" t="s">
        <v>1544</v>
      </c>
      <c r="C213" s="338" t="s">
        <v>1317</v>
      </c>
      <c r="D213" s="338">
        <v>20105</v>
      </c>
      <c r="E213" s="338" t="s">
        <v>61</v>
      </c>
      <c r="F213" s="288" t="b">
        <f t="shared" si="7"/>
        <v>0</v>
      </c>
    </row>
    <row r="214" spans="1:6" x14ac:dyDescent="0.2">
      <c r="A214" s="339">
        <v>371</v>
      </c>
      <c r="B214" s="339" t="s">
        <v>1286</v>
      </c>
      <c r="C214" s="339" t="s">
        <v>1290</v>
      </c>
      <c r="D214" s="339">
        <v>21845</v>
      </c>
      <c r="E214" s="339" t="s">
        <v>61</v>
      </c>
      <c r="F214" s="288" t="b">
        <f t="shared" si="7"/>
        <v>0</v>
      </c>
    </row>
    <row r="215" spans="1:6" x14ac:dyDescent="0.2">
      <c r="A215" s="338">
        <v>387</v>
      </c>
      <c r="B215" s="338" t="s">
        <v>1310</v>
      </c>
      <c r="C215" s="338" t="s">
        <v>1311</v>
      </c>
      <c r="D215" s="338">
        <v>20610</v>
      </c>
      <c r="E215" s="338" t="s">
        <v>61</v>
      </c>
      <c r="F215" s="288" t="b">
        <f t="shared" si="7"/>
        <v>0</v>
      </c>
    </row>
    <row r="216" spans="1:6" x14ac:dyDescent="0.2">
      <c r="A216" s="339">
        <v>391</v>
      </c>
      <c r="B216" s="339" t="s">
        <v>1318</v>
      </c>
      <c r="C216" s="339" t="s">
        <v>1319</v>
      </c>
      <c r="D216" s="339">
        <v>22465</v>
      </c>
      <c r="E216" s="339" t="s">
        <v>61</v>
      </c>
      <c r="F216" s="288" t="b">
        <f t="shared" si="7"/>
        <v>0</v>
      </c>
    </row>
    <row r="217" spans="1:6" x14ac:dyDescent="0.2">
      <c r="A217" s="338">
        <v>399</v>
      </c>
      <c r="B217" s="338" t="s">
        <v>1320</v>
      </c>
      <c r="C217" s="338" t="s">
        <v>1321</v>
      </c>
      <c r="D217" s="338">
        <v>21300</v>
      </c>
      <c r="E217" s="338" t="s">
        <v>61</v>
      </c>
      <c r="F217" s="288" t="b">
        <f t="shared" si="7"/>
        <v>0</v>
      </c>
    </row>
    <row r="218" spans="1:6" x14ac:dyDescent="0.2">
      <c r="A218" s="339">
        <v>399</v>
      </c>
      <c r="B218" s="339" t="s">
        <v>1320</v>
      </c>
      <c r="C218" s="339" t="s">
        <v>1323</v>
      </c>
      <c r="D218" s="339">
        <v>26560</v>
      </c>
      <c r="E218" s="339" t="s">
        <v>61</v>
      </c>
      <c r="F218" s="288" t="b">
        <f t="shared" si="7"/>
        <v>0</v>
      </c>
    </row>
    <row r="219" spans="1:6" x14ac:dyDescent="0.2">
      <c r="A219" s="339">
        <v>405</v>
      </c>
      <c r="B219" s="339" t="s">
        <v>1328</v>
      </c>
      <c r="C219" s="339" t="s">
        <v>1329</v>
      </c>
      <c r="D219" s="339">
        <v>20805</v>
      </c>
      <c r="E219" s="339" t="s">
        <v>61</v>
      </c>
      <c r="F219" s="288" t="b">
        <f t="shared" si="7"/>
        <v>0</v>
      </c>
    </row>
    <row r="220" spans="1:6" x14ac:dyDescent="0.2">
      <c r="A220" s="338">
        <v>319</v>
      </c>
      <c r="B220" s="338" t="s">
        <v>1201</v>
      </c>
      <c r="C220" s="338" t="s">
        <v>1203</v>
      </c>
      <c r="D220" s="338">
        <v>20470</v>
      </c>
      <c r="E220" s="338" t="s">
        <v>61</v>
      </c>
      <c r="F220" s="288" t="b">
        <f t="shared" si="7"/>
        <v>0</v>
      </c>
    </row>
    <row r="221" spans="1:6" x14ac:dyDescent="0.2">
      <c r="A221" s="338">
        <v>473</v>
      </c>
      <c r="B221" s="338" t="s">
        <v>1398</v>
      </c>
      <c r="C221" s="338" t="s">
        <v>1404</v>
      </c>
      <c r="D221" s="338">
        <v>22890</v>
      </c>
      <c r="E221" s="338" t="s">
        <v>61</v>
      </c>
      <c r="F221" s="288" t="b">
        <f t="shared" si="7"/>
        <v>0</v>
      </c>
    </row>
    <row r="222" spans="1:6" x14ac:dyDescent="0.2">
      <c r="A222" s="338">
        <v>174</v>
      </c>
      <c r="B222" s="338" t="s">
        <v>1035</v>
      </c>
      <c r="C222" s="338" t="s">
        <v>1044</v>
      </c>
      <c r="D222" s="338">
        <v>23005</v>
      </c>
      <c r="E222" s="338" t="s">
        <v>61</v>
      </c>
      <c r="F222" s="288" t="b">
        <f t="shared" si="7"/>
        <v>0</v>
      </c>
    </row>
    <row r="223" spans="1:6" x14ac:dyDescent="0.2">
      <c r="A223" s="339">
        <v>716</v>
      </c>
      <c r="B223" s="339" t="s">
        <v>1635</v>
      </c>
      <c r="C223" s="339" t="s">
        <v>1635</v>
      </c>
      <c r="D223" s="339">
        <v>29231</v>
      </c>
      <c r="E223" s="339" t="s">
        <v>61</v>
      </c>
      <c r="F223" s="288" t="b">
        <f t="shared" si="7"/>
        <v>0</v>
      </c>
    </row>
    <row r="224" spans="1:6" x14ac:dyDescent="0.2">
      <c r="A224" s="339">
        <v>335</v>
      </c>
      <c r="B224" s="339" t="s">
        <v>906</v>
      </c>
      <c r="C224" s="339" t="s">
        <v>1229</v>
      </c>
      <c r="D224" s="339">
        <v>26435</v>
      </c>
      <c r="E224" s="339" t="s">
        <v>61</v>
      </c>
      <c r="F224" s="288" t="b">
        <f t="shared" si="7"/>
        <v>0</v>
      </c>
    </row>
    <row r="225" spans="1:6" x14ac:dyDescent="0.2">
      <c r="A225" s="338">
        <v>411</v>
      </c>
      <c r="B225" s="338" t="s">
        <v>1334</v>
      </c>
      <c r="C225" s="338" t="s">
        <v>1335</v>
      </c>
      <c r="D225" s="338">
        <v>22085</v>
      </c>
      <c r="E225" s="338" t="s">
        <v>61</v>
      </c>
      <c r="F225" s="288" t="b">
        <f t="shared" si="7"/>
        <v>0</v>
      </c>
    </row>
    <row r="226" spans="1:6" x14ac:dyDescent="0.2">
      <c r="A226" s="339">
        <v>413</v>
      </c>
      <c r="B226" s="339" t="s">
        <v>1336</v>
      </c>
      <c r="C226" s="339" t="s">
        <v>1337</v>
      </c>
      <c r="D226" s="339">
        <v>22095</v>
      </c>
      <c r="E226" s="339" t="s">
        <v>61</v>
      </c>
      <c r="F226" s="288" t="b">
        <f t="shared" si="7"/>
        <v>0</v>
      </c>
    </row>
    <row r="227" spans="1:6" x14ac:dyDescent="0.2">
      <c r="A227" s="338">
        <v>267</v>
      </c>
      <c r="B227" s="338" t="s">
        <v>1132</v>
      </c>
      <c r="C227" s="338" t="s">
        <v>1137</v>
      </c>
      <c r="D227" s="338">
        <v>26765</v>
      </c>
      <c r="E227" s="338" t="s">
        <v>61</v>
      </c>
      <c r="F227" s="288" t="b">
        <f t="shared" si="7"/>
        <v>0</v>
      </c>
    </row>
    <row r="228" spans="1:6" x14ac:dyDescent="0.2">
      <c r="A228" s="339">
        <v>208</v>
      </c>
      <c r="B228" s="339" t="s">
        <v>1074</v>
      </c>
      <c r="C228" s="339" t="s">
        <v>1077</v>
      </c>
      <c r="D228" s="339">
        <v>22405</v>
      </c>
      <c r="E228" s="339" t="s">
        <v>61</v>
      </c>
      <c r="F228" s="288" t="b">
        <f t="shared" si="7"/>
        <v>0</v>
      </c>
    </row>
    <row r="229" spans="1:6" x14ac:dyDescent="0.2">
      <c r="A229" s="338">
        <v>423</v>
      </c>
      <c r="B229" s="338" t="s">
        <v>1338</v>
      </c>
      <c r="C229" s="338" t="s">
        <v>1568</v>
      </c>
      <c r="D229" s="338">
        <v>29210</v>
      </c>
      <c r="E229" s="338" t="s">
        <v>1561</v>
      </c>
      <c r="F229" s="288" t="b">
        <f t="shared" si="7"/>
        <v>0</v>
      </c>
    </row>
    <row r="230" spans="1:6" x14ac:dyDescent="0.2">
      <c r="A230" s="338">
        <v>335</v>
      </c>
      <c r="B230" s="338" t="s">
        <v>906</v>
      </c>
      <c r="C230" s="338" t="s">
        <v>1217</v>
      </c>
      <c r="D230" s="338">
        <v>21540</v>
      </c>
      <c r="E230" s="338" t="s">
        <v>61</v>
      </c>
      <c r="F230" s="288" t="b">
        <f t="shared" si="7"/>
        <v>0</v>
      </c>
    </row>
    <row r="231" spans="1:6" x14ac:dyDescent="0.2">
      <c r="A231" s="338">
        <v>185</v>
      </c>
      <c r="B231" s="338" t="s">
        <v>1051</v>
      </c>
      <c r="C231" s="338" t="s">
        <v>1052</v>
      </c>
      <c r="D231" s="338">
        <v>20650</v>
      </c>
      <c r="E231" s="338" t="s">
        <v>61</v>
      </c>
      <c r="F231" s="288" t="b">
        <f t="shared" si="7"/>
        <v>0</v>
      </c>
    </row>
    <row r="232" spans="1:6" x14ac:dyDescent="0.2">
      <c r="A232" s="339">
        <v>543</v>
      </c>
      <c r="B232" s="339" t="s">
        <v>1456</v>
      </c>
      <c r="C232" s="339" t="s">
        <v>1457</v>
      </c>
      <c r="D232" s="339">
        <v>22110</v>
      </c>
      <c r="E232" s="339" t="s">
        <v>61</v>
      </c>
      <c r="F232" s="288" t="b">
        <f t="shared" si="7"/>
        <v>0</v>
      </c>
    </row>
    <row r="233" spans="1:6" x14ac:dyDescent="0.2">
      <c r="A233" s="339">
        <v>449</v>
      </c>
      <c r="B233" s="339" t="s">
        <v>1366</v>
      </c>
      <c r="C233" s="339" t="s">
        <v>1569</v>
      </c>
      <c r="D233" s="339">
        <v>22560</v>
      </c>
      <c r="E233" s="339" t="s">
        <v>1561</v>
      </c>
      <c r="F233" s="288" t="b">
        <f t="shared" si="7"/>
        <v>0</v>
      </c>
    </row>
    <row r="234" spans="1:6" x14ac:dyDescent="0.2">
      <c r="A234" s="338">
        <v>425</v>
      </c>
      <c r="B234" s="338" t="s">
        <v>1343</v>
      </c>
      <c r="C234" s="338" t="s">
        <v>1344</v>
      </c>
      <c r="D234" s="338">
        <v>27970</v>
      </c>
      <c r="E234" s="338" t="s">
        <v>61</v>
      </c>
      <c r="F234" s="288" t="b">
        <f t="shared" si="7"/>
        <v>0</v>
      </c>
    </row>
    <row r="235" spans="1:6" x14ac:dyDescent="0.2">
      <c r="A235" s="339">
        <v>425</v>
      </c>
      <c r="B235" s="339" t="s">
        <v>1343</v>
      </c>
      <c r="C235" s="339" t="s">
        <v>1346</v>
      </c>
      <c r="D235" s="339">
        <v>21110</v>
      </c>
      <c r="E235" s="339" t="s">
        <v>61</v>
      </c>
      <c r="F235" s="288" t="b">
        <f t="shared" si="7"/>
        <v>0</v>
      </c>
    </row>
    <row r="236" spans="1:6" x14ac:dyDescent="0.2">
      <c r="A236" s="338">
        <v>427</v>
      </c>
      <c r="B236" s="338" t="s">
        <v>1347</v>
      </c>
      <c r="C236" s="338" t="s">
        <v>1348</v>
      </c>
      <c r="D236" s="338">
        <v>22615</v>
      </c>
      <c r="E236" s="338" t="s">
        <v>61</v>
      </c>
      <c r="F236" s="288" t="b">
        <f t="shared" si="7"/>
        <v>0</v>
      </c>
    </row>
    <row r="237" spans="1:6" x14ac:dyDescent="0.2">
      <c r="A237" s="339">
        <v>352</v>
      </c>
      <c r="B237" s="339" t="s">
        <v>1253</v>
      </c>
      <c r="C237" s="339" t="s">
        <v>1257</v>
      </c>
      <c r="D237" s="339">
        <v>22185</v>
      </c>
      <c r="E237" s="339" t="s">
        <v>61</v>
      </c>
      <c r="F237" s="288" t="b">
        <f t="shared" si="7"/>
        <v>0</v>
      </c>
    </row>
    <row r="238" spans="1:6" x14ac:dyDescent="0.2">
      <c r="A238" s="339">
        <v>41</v>
      </c>
      <c r="B238" s="339" t="s">
        <v>935</v>
      </c>
      <c r="C238" s="339" t="s">
        <v>936</v>
      </c>
      <c r="D238" s="339">
        <v>21000</v>
      </c>
      <c r="E238" s="339" t="s">
        <v>61</v>
      </c>
      <c r="F238" s="288" t="b">
        <f t="shared" si="7"/>
        <v>0</v>
      </c>
    </row>
    <row r="239" spans="1:6" x14ac:dyDescent="0.2">
      <c r="A239" s="338">
        <v>112</v>
      </c>
      <c r="B239" s="338" t="s">
        <v>978</v>
      </c>
      <c r="C239" s="338" t="s">
        <v>988</v>
      </c>
      <c r="D239" s="338">
        <v>22310</v>
      </c>
      <c r="E239" s="338" t="s">
        <v>61</v>
      </c>
      <c r="F239" s="288" t="b">
        <f t="shared" si="7"/>
        <v>0</v>
      </c>
    </row>
    <row r="240" spans="1:6" x14ac:dyDescent="0.2">
      <c r="A240" s="339">
        <v>112</v>
      </c>
      <c r="B240" s="339" t="s">
        <v>978</v>
      </c>
      <c r="C240" s="339" t="s">
        <v>981</v>
      </c>
      <c r="D240" s="339">
        <v>22225</v>
      </c>
      <c r="E240" s="339" t="s">
        <v>61</v>
      </c>
      <c r="F240" s="288" t="b">
        <f t="shared" si="7"/>
        <v>0</v>
      </c>
    </row>
    <row r="241" spans="1:6" x14ac:dyDescent="0.2">
      <c r="A241" s="338">
        <v>435</v>
      </c>
      <c r="B241" s="338" t="s">
        <v>1353</v>
      </c>
      <c r="C241" s="338" t="s">
        <v>1354</v>
      </c>
      <c r="D241" s="338">
        <v>20895</v>
      </c>
      <c r="E241" s="338" t="s">
        <v>61</v>
      </c>
      <c r="F241" s="288" t="b">
        <f t="shared" si="7"/>
        <v>0</v>
      </c>
    </row>
    <row r="242" spans="1:6" x14ac:dyDescent="0.2">
      <c r="A242" s="339">
        <v>113</v>
      </c>
      <c r="B242" s="339" t="s">
        <v>990</v>
      </c>
      <c r="C242" s="339" t="s">
        <v>991</v>
      </c>
      <c r="D242" s="339">
        <v>20330</v>
      </c>
      <c r="E242" s="339" t="s">
        <v>61</v>
      </c>
      <c r="F242" s="288" t="b">
        <f t="shared" si="7"/>
        <v>0</v>
      </c>
    </row>
    <row r="243" spans="1:6" x14ac:dyDescent="0.2">
      <c r="A243" s="339">
        <v>437</v>
      </c>
      <c r="B243" s="339" t="s">
        <v>1355</v>
      </c>
      <c r="C243" s="339" t="s">
        <v>1356</v>
      </c>
      <c r="D243" s="339">
        <v>20205</v>
      </c>
      <c r="E243" s="339" t="s">
        <v>61</v>
      </c>
      <c r="F243" s="288" t="b">
        <f t="shared" si="7"/>
        <v>0</v>
      </c>
    </row>
    <row r="244" spans="1:6" x14ac:dyDescent="0.2">
      <c r="A244" s="338">
        <v>439</v>
      </c>
      <c r="B244" s="338" t="s">
        <v>1358</v>
      </c>
      <c r="C244" s="338" t="s">
        <v>1359</v>
      </c>
      <c r="D244" s="338">
        <v>26595</v>
      </c>
      <c r="E244" s="338" t="s">
        <v>61</v>
      </c>
      <c r="F244" s="288" t="b">
        <f t="shared" si="7"/>
        <v>0</v>
      </c>
    </row>
    <row r="245" spans="1:6" x14ac:dyDescent="0.2">
      <c r="A245" s="339">
        <v>441</v>
      </c>
      <c r="B245" s="339" t="s">
        <v>1362</v>
      </c>
      <c r="C245" s="339" t="s">
        <v>1363</v>
      </c>
      <c r="D245" s="339">
        <v>21375</v>
      </c>
      <c r="E245" s="339" t="s">
        <v>61</v>
      </c>
      <c r="F245" s="288" t="b">
        <f t="shared" si="7"/>
        <v>0</v>
      </c>
    </row>
    <row r="246" spans="1:6" x14ac:dyDescent="0.2">
      <c r="A246" s="339">
        <v>285</v>
      </c>
      <c r="B246" s="339" t="s">
        <v>1168</v>
      </c>
      <c r="C246" s="339" t="s">
        <v>1170</v>
      </c>
      <c r="D246" s="339">
        <v>21260</v>
      </c>
      <c r="E246" s="339" t="s">
        <v>61</v>
      </c>
      <c r="F246" s="288" t="b">
        <f t="shared" si="7"/>
        <v>0</v>
      </c>
    </row>
    <row r="247" spans="1:6" x14ac:dyDescent="0.2">
      <c r="A247" s="338">
        <v>447</v>
      </c>
      <c r="B247" s="338" t="s">
        <v>1364</v>
      </c>
      <c r="C247" s="338" t="s">
        <v>1365</v>
      </c>
      <c r="D247" s="338">
        <v>22355</v>
      </c>
      <c r="E247" s="338" t="s">
        <v>61</v>
      </c>
      <c r="F247" s="288" t="b">
        <f t="shared" si="7"/>
        <v>0</v>
      </c>
    </row>
    <row r="248" spans="1:6" x14ac:dyDescent="0.2">
      <c r="A248" s="339">
        <v>735</v>
      </c>
      <c r="B248" s="339" t="s">
        <v>1526</v>
      </c>
      <c r="C248" s="339" t="s">
        <v>1526</v>
      </c>
      <c r="D248" s="339">
        <v>29065</v>
      </c>
      <c r="E248" s="339" t="s">
        <v>61</v>
      </c>
      <c r="F248" s="288" t="b">
        <f t="shared" si="7"/>
        <v>0</v>
      </c>
    </row>
    <row r="249" spans="1:6" x14ac:dyDescent="0.2">
      <c r="A249" s="339">
        <v>534</v>
      </c>
      <c r="B249" s="339" t="s">
        <v>1446</v>
      </c>
      <c r="C249" s="339" t="s">
        <v>1451</v>
      </c>
      <c r="D249" s="339">
        <v>22765</v>
      </c>
      <c r="E249" s="339" t="s">
        <v>61</v>
      </c>
      <c r="F249" s="288" t="b">
        <f t="shared" si="7"/>
        <v>0</v>
      </c>
    </row>
    <row r="250" spans="1:6" x14ac:dyDescent="0.2">
      <c r="A250" s="339">
        <v>371</v>
      </c>
      <c r="B250" s="339" t="s">
        <v>1286</v>
      </c>
      <c r="C250" s="339" t="s">
        <v>1567</v>
      </c>
      <c r="D250" s="339">
        <v>28610</v>
      </c>
      <c r="E250" s="339" t="s">
        <v>1561</v>
      </c>
      <c r="F250" s="288" t="b">
        <f t="shared" si="7"/>
        <v>0</v>
      </c>
    </row>
    <row r="251" spans="1:6" x14ac:dyDescent="0.2">
      <c r="A251" s="339">
        <v>351</v>
      </c>
      <c r="B251" s="339" t="s">
        <v>1246</v>
      </c>
      <c r="C251" s="339" t="s">
        <v>1248</v>
      </c>
      <c r="D251" s="339">
        <v>21015</v>
      </c>
      <c r="E251" s="339" t="s">
        <v>61</v>
      </c>
      <c r="F251" s="288" t="b">
        <f t="shared" si="7"/>
        <v>0</v>
      </c>
    </row>
    <row r="252" spans="1:6" x14ac:dyDescent="0.2">
      <c r="A252" s="338">
        <v>71</v>
      </c>
      <c r="B252" s="338" t="s">
        <v>951</v>
      </c>
      <c r="C252" s="338" t="s">
        <v>953</v>
      </c>
      <c r="D252" s="338">
        <v>21800</v>
      </c>
      <c r="E252" s="338" t="s">
        <v>61</v>
      </c>
      <c r="F252" s="288" t="b">
        <f t="shared" si="7"/>
        <v>0</v>
      </c>
    </row>
    <row r="253" spans="1:6" x14ac:dyDescent="0.2">
      <c r="A253" s="338">
        <v>401</v>
      </c>
      <c r="B253" s="338" t="s">
        <v>1324</v>
      </c>
      <c r="C253" s="338" t="s">
        <v>1327</v>
      </c>
      <c r="D253" s="338">
        <v>21995</v>
      </c>
      <c r="E253" s="338" t="s">
        <v>61</v>
      </c>
      <c r="F253" s="288" t="b">
        <f t="shared" si="7"/>
        <v>0</v>
      </c>
    </row>
    <row r="254" spans="1:6" x14ac:dyDescent="0.2">
      <c r="A254" s="338">
        <v>41</v>
      </c>
      <c r="B254" s="338" t="s">
        <v>935</v>
      </c>
      <c r="C254" s="338" t="s">
        <v>938</v>
      </c>
      <c r="D254" s="338">
        <v>27680</v>
      </c>
      <c r="E254" s="338" t="s">
        <v>61</v>
      </c>
      <c r="F254" s="288" t="b">
        <f t="shared" si="7"/>
        <v>0</v>
      </c>
    </row>
    <row r="255" spans="1:6" x14ac:dyDescent="0.2">
      <c r="A255" s="338">
        <v>274</v>
      </c>
      <c r="B255" s="338" t="s">
        <v>1145</v>
      </c>
      <c r="C255" s="338" t="s">
        <v>1146</v>
      </c>
      <c r="D255" s="338">
        <v>22320</v>
      </c>
      <c r="E255" s="338" t="s">
        <v>61</v>
      </c>
      <c r="F255" s="288" t="b">
        <f t="shared" si="7"/>
        <v>0</v>
      </c>
    </row>
    <row r="256" spans="1:6" x14ac:dyDescent="0.2">
      <c r="A256" s="339">
        <v>457</v>
      </c>
      <c r="B256" s="339" t="s">
        <v>1633</v>
      </c>
      <c r="C256" s="339" t="s">
        <v>1634</v>
      </c>
      <c r="D256" s="339">
        <v>29196</v>
      </c>
      <c r="E256" s="339" t="s">
        <v>61</v>
      </c>
      <c r="F256" s="288" t="b">
        <f t="shared" si="7"/>
        <v>0</v>
      </c>
    </row>
    <row r="257" spans="1:6" x14ac:dyDescent="0.2">
      <c r="A257" s="338">
        <v>737</v>
      </c>
      <c r="B257" s="338" t="s">
        <v>1527</v>
      </c>
      <c r="C257" s="338" t="s">
        <v>1527</v>
      </c>
      <c r="D257" s="338">
        <v>29070</v>
      </c>
      <c r="E257" s="338" t="s">
        <v>61</v>
      </c>
      <c r="F257" s="288" t="b">
        <f t="shared" si="7"/>
        <v>0</v>
      </c>
    </row>
    <row r="258" spans="1:6" x14ac:dyDescent="0.2">
      <c r="A258" s="338">
        <v>463</v>
      </c>
      <c r="B258" s="338" t="s">
        <v>1391</v>
      </c>
      <c r="C258" s="338" t="s">
        <v>1392</v>
      </c>
      <c r="D258" s="338">
        <v>22810</v>
      </c>
      <c r="E258" s="338" t="s">
        <v>61</v>
      </c>
      <c r="F258" s="288" t="b">
        <f t="shared" si="7"/>
        <v>0</v>
      </c>
    </row>
    <row r="259" spans="1:6" x14ac:dyDescent="0.2">
      <c r="A259" s="339">
        <v>467</v>
      </c>
      <c r="B259" s="339" t="s">
        <v>1393</v>
      </c>
      <c r="C259" s="339" t="s">
        <v>1394</v>
      </c>
      <c r="D259" s="339">
        <v>22375</v>
      </c>
      <c r="E259" s="339" t="s">
        <v>61</v>
      </c>
      <c r="F259" s="288" t="b">
        <f t="shared" si="7"/>
        <v>0</v>
      </c>
    </row>
    <row r="260" spans="1:6" x14ac:dyDescent="0.2">
      <c r="A260" s="338">
        <v>471</v>
      </c>
      <c r="B260" s="338" t="s">
        <v>1395</v>
      </c>
      <c r="C260" s="338" t="s">
        <v>1397</v>
      </c>
      <c r="D260" s="338">
        <v>22475</v>
      </c>
      <c r="E260" s="338" t="s">
        <v>61</v>
      </c>
      <c r="F260" s="288" t="b">
        <f t="shared" si="7"/>
        <v>0</v>
      </c>
    </row>
    <row r="261" spans="1:6" x14ac:dyDescent="0.2">
      <c r="A261" s="339">
        <v>471</v>
      </c>
      <c r="B261" s="339" t="s">
        <v>1395</v>
      </c>
      <c r="C261" s="339" t="s">
        <v>1396</v>
      </c>
      <c r="D261" s="339">
        <v>22470</v>
      </c>
      <c r="E261" s="339" t="s">
        <v>61</v>
      </c>
      <c r="F261" s="288" t="b">
        <f t="shared" ref="F261:F324" si="8">C261=C260</f>
        <v>0</v>
      </c>
    </row>
    <row r="262" spans="1:6" x14ac:dyDescent="0.2">
      <c r="A262" s="338">
        <v>473</v>
      </c>
      <c r="B262" s="338" t="s">
        <v>1398</v>
      </c>
      <c r="C262" s="338" t="s">
        <v>1614</v>
      </c>
      <c r="D262" s="338">
        <v>29225</v>
      </c>
      <c r="E262" s="338" t="s">
        <v>1561</v>
      </c>
      <c r="F262" s="288" t="b">
        <f t="shared" si="8"/>
        <v>0</v>
      </c>
    </row>
    <row r="263" spans="1:6" x14ac:dyDescent="0.2">
      <c r="A263" s="338">
        <v>352</v>
      </c>
      <c r="B263" s="338" t="s">
        <v>1253</v>
      </c>
      <c r="C263" s="338" t="s">
        <v>1259</v>
      </c>
      <c r="D263" s="338">
        <v>22200</v>
      </c>
      <c r="E263" s="338" t="s">
        <v>61</v>
      </c>
      <c r="F263" s="288" t="b">
        <f t="shared" si="8"/>
        <v>0</v>
      </c>
    </row>
    <row r="264" spans="1:6" x14ac:dyDescent="0.2">
      <c r="A264" s="339">
        <v>582</v>
      </c>
      <c r="B264" s="339" t="s">
        <v>1488</v>
      </c>
      <c r="C264" s="339" t="s">
        <v>1489</v>
      </c>
      <c r="D264" s="339">
        <v>22925</v>
      </c>
      <c r="E264" s="339" t="s">
        <v>61</v>
      </c>
      <c r="F264" s="288" t="b">
        <f t="shared" si="8"/>
        <v>0</v>
      </c>
    </row>
    <row r="265" spans="1:6" x14ac:dyDescent="0.2">
      <c r="A265" s="338">
        <v>534</v>
      </c>
      <c r="B265" s="338" t="s">
        <v>1446</v>
      </c>
      <c r="C265" s="338" t="s">
        <v>1453</v>
      </c>
      <c r="D265" s="338">
        <v>22775</v>
      </c>
      <c r="E265" s="338" t="s">
        <v>61</v>
      </c>
      <c r="F265" s="288" t="b">
        <f t="shared" si="8"/>
        <v>0</v>
      </c>
    </row>
    <row r="266" spans="1:6" x14ac:dyDescent="0.2">
      <c r="A266" s="339">
        <v>534</v>
      </c>
      <c r="B266" s="339" t="s">
        <v>1446</v>
      </c>
      <c r="C266" s="339" t="s">
        <v>1447</v>
      </c>
      <c r="D266" s="339">
        <v>27910</v>
      </c>
      <c r="E266" s="339" t="s">
        <v>61</v>
      </c>
      <c r="F266" s="288" t="b">
        <f t="shared" si="8"/>
        <v>0</v>
      </c>
    </row>
    <row r="267" spans="1:6" x14ac:dyDescent="0.2">
      <c r="A267" s="339">
        <v>269</v>
      </c>
      <c r="B267" s="339" t="s">
        <v>1138</v>
      </c>
      <c r="C267" s="339" t="s">
        <v>1142</v>
      </c>
      <c r="D267" s="339">
        <v>20040</v>
      </c>
      <c r="E267" s="339" t="s">
        <v>61</v>
      </c>
      <c r="F267" s="288" t="b">
        <f t="shared" si="8"/>
        <v>0</v>
      </c>
    </row>
    <row r="268" spans="1:6" x14ac:dyDescent="0.2">
      <c r="A268" s="339">
        <v>174</v>
      </c>
      <c r="B268" s="339" t="s">
        <v>1035</v>
      </c>
      <c r="C268" s="339" t="s">
        <v>1043</v>
      </c>
      <c r="D268" s="339">
        <v>22995</v>
      </c>
      <c r="E268" s="339" t="s">
        <v>61</v>
      </c>
      <c r="F268" s="288" t="b">
        <f t="shared" si="8"/>
        <v>0</v>
      </c>
    </row>
    <row r="269" spans="1:6" x14ac:dyDescent="0.2">
      <c r="A269" s="338">
        <v>461</v>
      </c>
      <c r="B269" s="338" t="s">
        <v>1379</v>
      </c>
      <c r="C269" s="338" t="s">
        <v>1388</v>
      </c>
      <c r="D269" s="338">
        <v>22720</v>
      </c>
      <c r="E269" s="338" t="s">
        <v>61</v>
      </c>
      <c r="F269" s="288" t="b">
        <f t="shared" si="8"/>
        <v>0</v>
      </c>
    </row>
    <row r="270" spans="1:6" x14ac:dyDescent="0.2">
      <c r="A270" s="339">
        <v>485</v>
      </c>
      <c r="B270" s="339" t="s">
        <v>1410</v>
      </c>
      <c r="C270" s="339" t="s">
        <v>1412</v>
      </c>
      <c r="D270" s="339">
        <v>20810</v>
      </c>
      <c r="E270" s="339" t="s">
        <v>61</v>
      </c>
      <c r="F270" s="288" t="b">
        <f t="shared" si="8"/>
        <v>0</v>
      </c>
    </row>
    <row r="271" spans="1:6" x14ac:dyDescent="0.2">
      <c r="A271" s="338">
        <v>485</v>
      </c>
      <c r="B271" s="338" t="s">
        <v>1410</v>
      </c>
      <c r="C271" s="338" t="s">
        <v>1411</v>
      </c>
      <c r="D271" s="338">
        <v>27995</v>
      </c>
      <c r="E271" s="338" t="s">
        <v>61</v>
      </c>
      <c r="F271" s="288" t="b">
        <f t="shared" si="8"/>
        <v>0</v>
      </c>
    </row>
    <row r="272" spans="1:6" x14ac:dyDescent="0.2">
      <c r="A272" s="339">
        <v>705</v>
      </c>
      <c r="B272" s="339" t="s">
        <v>1499</v>
      </c>
      <c r="C272" s="339" t="s">
        <v>1499</v>
      </c>
      <c r="D272" s="339">
        <v>28400</v>
      </c>
      <c r="E272" s="339" t="s">
        <v>61</v>
      </c>
      <c r="F272" s="288" t="b">
        <f t="shared" si="8"/>
        <v>0</v>
      </c>
    </row>
    <row r="273" spans="1:6" x14ac:dyDescent="0.2">
      <c r="A273" s="339">
        <v>276</v>
      </c>
      <c r="B273" s="339" t="s">
        <v>1152</v>
      </c>
      <c r="C273" s="339" t="s">
        <v>1155</v>
      </c>
      <c r="D273" s="339">
        <v>22020</v>
      </c>
      <c r="E273" s="339" t="s">
        <v>61</v>
      </c>
      <c r="F273" s="288" t="b">
        <f t="shared" si="8"/>
        <v>0</v>
      </c>
    </row>
    <row r="274" spans="1:6" x14ac:dyDescent="0.2">
      <c r="A274" s="339">
        <v>335</v>
      </c>
      <c r="B274" s="339" t="s">
        <v>906</v>
      </c>
      <c r="C274" s="339" t="s">
        <v>1225</v>
      </c>
      <c r="D274" s="339">
        <v>21605</v>
      </c>
      <c r="E274" s="339" t="s">
        <v>61</v>
      </c>
      <c r="F274" s="288" t="b">
        <f t="shared" si="8"/>
        <v>0</v>
      </c>
    </row>
    <row r="275" spans="1:6" x14ac:dyDescent="0.2">
      <c r="A275" s="339">
        <v>495</v>
      </c>
      <c r="B275" s="339" t="s">
        <v>1425</v>
      </c>
      <c r="C275" s="339" t="s">
        <v>1426</v>
      </c>
      <c r="D275" s="339">
        <v>20815</v>
      </c>
      <c r="E275" s="339" t="s">
        <v>61</v>
      </c>
      <c r="F275" s="288" t="b">
        <f t="shared" si="8"/>
        <v>0</v>
      </c>
    </row>
    <row r="276" spans="1:6" x14ac:dyDescent="0.2">
      <c r="A276" s="339">
        <v>319</v>
      </c>
      <c r="B276" s="339" t="s">
        <v>1201</v>
      </c>
      <c r="C276" s="339" t="s">
        <v>1204</v>
      </c>
      <c r="D276" s="339">
        <v>20475</v>
      </c>
      <c r="E276" s="339" t="s">
        <v>61</v>
      </c>
      <c r="F276" s="288" t="b">
        <f t="shared" si="8"/>
        <v>0</v>
      </c>
    </row>
    <row r="277" spans="1:6" x14ac:dyDescent="0.2">
      <c r="A277" s="339">
        <v>131</v>
      </c>
      <c r="B277" s="339" t="s">
        <v>1001</v>
      </c>
      <c r="C277" s="339" t="s">
        <v>1007</v>
      </c>
      <c r="D277" s="339">
        <v>20405</v>
      </c>
      <c r="E277" s="339" t="s">
        <v>61</v>
      </c>
      <c r="F277" s="288" t="b">
        <f t="shared" si="8"/>
        <v>0</v>
      </c>
    </row>
    <row r="278" spans="1:6" x14ac:dyDescent="0.2">
      <c r="A278" s="338">
        <v>582</v>
      </c>
      <c r="B278" s="338" t="s">
        <v>1488</v>
      </c>
      <c r="C278" s="338" t="s">
        <v>1493</v>
      </c>
      <c r="D278" s="338">
        <v>27070</v>
      </c>
      <c r="E278" s="338" t="s">
        <v>61</v>
      </c>
      <c r="F278" s="288" t="b">
        <f t="shared" si="8"/>
        <v>0</v>
      </c>
    </row>
    <row r="279" spans="1:6" x14ac:dyDescent="0.2">
      <c r="A279" s="338">
        <v>499</v>
      </c>
      <c r="B279" s="338" t="s">
        <v>1427</v>
      </c>
      <c r="C279" s="338" t="s">
        <v>1428</v>
      </c>
      <c r="D279" s="338">
        <v>22910</v>
      </c>
      <c r="E279" s="338" t="s">
        <v>61</v>
      </c>
      <c r="F279" s="288" t="b">
        <f t="shared" si="8"/>
        <v>0</v>
      </c>
    </row>
    <row r="280" spans="1:6" x14ac:dyDescent="0.2">
      <c r="A280" s="339">
        <v>501</v>
      </c>
      <c r="B280" s="339" t="s">
        <v>1429</v>
      </c>
      <c r="C280" s="339" t="s">
        <v>1430</v>
      </c>
      <c r="D280" s="339">
        <v>27560</v>
      </c>
      <c r="E280" s="339" t="s">
        <v>61</v>
      </c>
      <c r="F280" s="288" t="b">
        <f t="shared" si="8"/>
        <v>0</v>
      </c>
    </row>
    <row r="281" spans="1:6" x14ac:dyDescent="0.2">
      <c r="A281" s="339">
        <v>507</v>
      </c>
      <c r="B281" s="339" t="s">
        <v>1433</v>
      </c>
      <c r="C281" s="339" t="s">
        <v>1434</v>
      </c>
      <c r="D281" s="339">
        <v>22100</v>
      </c>
      <c r="E281" s="339" t="s">
        <v>61</v>
      </c>
      <c r="F281" s="288" t="b">
        <f t="shared" si="8"/>
        <v>0</v>
      </c>
    </row>
    <row r="282" spans="1:6" x14ac:dyDescent="0.2">
      <c r="A282" s="338">
        <v>509</v>
      </c>
      <c r="B282" s="338" t="s">
        <v>1435</v>
      </c>
      <c r="C282" s="338" t="s">
        <v>1436</v>
      </c>
      <c r="D282" s="338">
        <v>22915</v>
      </c>
      <c r="E282" s="338" t="s">
        <v>61</v>
      </c>
      <c r="F282" s="288" t="b">
        <f t="shared" si="8"/>
        <v>0</v>
      </c>
    </row>
    <row r="283" spans="1:6" x14ac:dyDescent="0.2">
      <c r="A283" s="339">
        <v>511</v>
      </c>
      <c r="B283" s="339" t="s">
        <v>1437</v>
      </c>
      <c r="C283" s="339" t="s">
        <v>1438</v>
      </c>
      <c r="D283" s="339">
        <v>20615</v>
      </c>
      <c r="E283" s="339" t="s">
        <v>61</v>
      </c>
      <c r="F283" s="288" t="b">
        <f t="shared" si="8"/>
        <v>0</v>
      </c>
    </row>
    <row r="284" spans="1:6" x14ac:dyDescent="0.2">
      <c r="A284" s="339">
        <v>721</v>
      </c>
      <c r="B284" s="339" t="s">
        <v>1511</v>
      </c>
      <c r="C284" s="339" t="s">
        <v>1511</v>
      </c>
      <c r="D284" s="339">
        <v>28570</v>
      </c>
      <c r="E284" s="339" t="s">
        <v>61</v>
      </c>
      <c r="F284" s="288" t="b">
        <f t="shared" si="8"/>
        <v>0</v>
      </c>
    </row>
    <row r="285" spans="1:6" x14ac:dyDescent="0.2">
      <c r="A285" s="338">
        <v>515</v>
      </c>
      <c r="B285" s="338" t="s">
        <v>1439</v>
      </c>
      <c r="C285" s="338" t="s">
        <v>1441</v>
      </c>
      <c r="D285" s="338">
        <v>22005</v>
      </c>
      <c r="E285" s="338" t="s">
        <v>61</v>
      </c>
      <c r="F285" s="288" t="b">
        <f t="shared" si="8"/>
        <v>0</v>
      </c>
    </row>
    <row r="286" spans="1:6" x14ac:dyDescent="0.2">
      <c r="A286" s="338">
        <v>371</v>
      </c>
      <c r="B286" s="338" t="s">
        <v>1286</v>
      </c>
      <c r="C286" s="338" t="s">
        <v>1291</v>
      </c>
      <c r="D286" s="338">
        <v>21850</v>
      </c>
      <c r="E286" s="338" t="s">
        <v>61</v>
      </c>
      <c r="F286" s="288" t="b">
        <f t="shared" si="8"/>
        <v>0</v>
      </c>
    </row>
    <row r="287" spans="1:6" x14ac:dyDescent="0.2">
      <c r="A287" s="338">
        <v>717</v>
      </c>
      <c r="B287" s="338" t="s">
        <v>1509</v>
      </c>
      <c r="C287" s="338" t="s">
        <v>1509</v>
      </c>
      <c r="D287" s="338">
        <v>28515</v>
      </c>
      <c r="E287" s="338" t="s">
        <v>61</v>
      </c>
      <c r="F287" s="288" t="b">
        <f t="shared" si="8"/>
        <v>0</v>
      </c>
    </row>
    <row r="288" spans="1:6" x14ac:dyDescent="0.2">
      <c r="A288" s="338">
        <v>276</v>
      </c>
      <c r="B288" s="338" t="s">
        <v>1152</v>
      </c>
      <c r="C288" s="338" t="s">
        <v>1153</v>
      </c>
      <c r="D288" s="338">
        <v>22010</v>
      </c>
      <c r="E288" s="338" t="s">
        <v>61</v>
      </c>
      <c r="F288" s="288" t="b">
        <f t="shared" si="8"/>
        <v>0</v>
      </c>
    </row>
    <row r="289" spans="1:6" x14ac:dyDescent="0.2">
      <c r="A289" s="338">
        <v>63</v>
      </c>
      <c r="B289" s="338" t="s">
        <v>950</v>
      </c>
      <c r="C289" s="338" t="s">
        <v>1541</v>
      </c>
      <c r="D289" s="338">
        <v>20555</v>
      </c>
      <c r="E289" s="338" t="s">
        <v>61</v>
      </c>
      <c r="F289" s="288" t="b">
        <f t="shared" si="8"/>
        <v>0</v>
      </c>
    </row>
    <row r="290" spans="1:6" x14ac:dyDescent="0.2">
      <c r="A290" s="339">
        <v>279</v>
      </c>
      <c r="B290" s="339" t="s">
        <v>1159</v>
      </c>
      <c r="C290" s="339" t="s">
        <v>1161</v>
      </c>
      <c r="D290" s="339">
        <v>21170</v>
      </c>
      <c r="E290" s="339" t="s">
        <v>61</v>
      </c>
      <c r="F290" s="288" t="b">
        <f t="shared" si="8"/>
        <v>0</v>
      </c>
    </row>
    <row r="291" spans="1:6" x14ac:dyDescent="0.2">
      <c r="A291" s="338">
        <v>112</v>
      </c>
      <c r="B291" s="338" t="s">
        <v>978</v>
      </c>
      <c r="C291" s="338" t="s">
        <v>989</v>
      </c>
      <c r="D291" s="338">
        <v>22330</v>
      </c>
      <c r="E291" s="338" t="s">
        <v>61</v>
      </c>
      <c r="F291" s="288" t="b">
        <f t="shared" si="8"/>
        <v>0</v>
      </c>
    </row>
    <row r="292" spans="1:6" x14ac:dyDescent="0.2">
      <c r="A292" s="338">
        <v>731</v>
      </c>
      <c r="B292" s="338" t="s">
        <v>1520</v>
      </c>
      <c r="C292" s="338" t="s">
        <v>1521</v>
      </c>
      <c r="D292" s="338">
        <v>29055</v>
      </c>
      <c r="E292" s="338" t="s">
        <v>61</v>
      </c>
      <c r="F292" s="288" t="b">
        <f t="shared" si="8"/>
        <v>0</v>
      </c>
    </row>
    <row r="293" spans="1:6" x14ac:dyDescent="0.2">
      <c r="A293" s="339">
        <v>741</v>
      </c>
      <c r="B293" s="339" t="s">
        <v>1529</v>
      </c>
      <c r="C293" s="339" t="s">
        <v>1531</v>
      </c>
      <c r="D293" s="339">
        <v>29150</v>
      </c>
      <c r="E293" s="339" t="s">
        <v>61</v>
      </c>
      <c r="F293" s="288" t="b">
        <f t="shared" si="8"/>
        <v>0</v>
      </c>
    </row>
    <row r="294" spans="1:6" x14ac:dyDescent="0.2">
      <c r="A294" s="338">
        <v>531</v>
      </c>
      <c r="B294" s="338" t="s">
        <v>1444</v>
      </c>
      <c r="C294" s="338" t="s">
        <v>1445</v>
      </c>
      <c r="D294" s="338">
        <v>22380</v>
      </c>
      <c r="E294" s="338" t="s">
        <v>61</v>
      </c>
      <c r="F294" s="288" t="b">
        <f t="shared" si="8"/>
        <v>0</v>
      </c>
    </row>
    <row r="295" spans="1:6" x14ac:dyDescent="0.2">
      <c r="A295" s="338">
        <v>351</v>
      </c>
      <c r="B295" s="338" t="s">
        <v>1246</v>
      </c>
      <c r="C295" s="338" t="s">
        <v>1251</v>
      </c>
      <c r="D295" s="338">
        <v>21035</v>
      </c>
      <c r="E295" s="338" t="s">
        <v>61</v>
      </c>
      <c r="F295" s="288" t="b">
        <f t="shared" si="8"/>
        <v>0</v>
      </c>
    </row>
    <row r="296" spans="1:6" x14ac:dyDescent="0.2">
      <c r="A296" s="339">
        <v>427</v>
      </c>
      <c r="B296" s="339" t="s">
        <v>1347</v>
      </c>
      <c r="C296" s="339" t="s">
        <v>1350</v>
      </c>
      <c r="D296" s="339">
        <v>26925</v>
      </c>
      <c r="E296" s="339" t="s">
        <v>61</v>
      </c>
      <c r="F296" s="288" t="b">
        <f t="shared" si="8"/>
        <v>0</v>
      </c>
    </row>
    <row r="297" spans="1:6" x14ac:dyDescent="0.2">
      <c r="A297" s="339">
        <v>363</v>
      </c>
      <c r="B297" s="339" t="s">
        <v>1274</v>
      </c>
      <c r="C297" s="339" t="s">
        <v>1277</v>
      </c>
      <c r="D297" s="339">
        <v>21725</v>
      </c>
      <c r="E297" s="339" t="s">
        <v>61</v>
      </c>
      <c r="F297" s="288" t="b">
        <f t="shared" si="8"/>
        <v>0</v>
      </c>
    </row>
    <row r="298" spans="1:6" x14ac:dyDescent="0.2">
      <c r="A298" s="338">
        <v>208</v>
      </c>
      <c r="B298" s="338" t="s">
        <v>1074</v>
      </c>
      <c r="C298" s="338" t="s">
        <v>1078</v>
      </c>
      <c r="D298" s="338">
        <v>22410</v>
      </c>
      <c r="E298" s="338" t="s">
        <v>61</v>
      </c>
      <c r="F298" s="288" t="b">
        <f t="shared" si="8"/>
        <v>0</v>
      </c>
    </row>
    <row r="299" spans="1:6" x14ac:dyDescent="0.2">
      <c r="A299" s="339">
        <v>582</v>
      </c>
      <c r="B299" s="339" t="s">
        <v>1488</v>
      </c>
      <c r="C299" s="339" t="s">
        <v>1490</v>
      </c>
      <c r="D299" s="339">
        <v>22945</v>
      </c>
      <c r="E299" s="339" t="s">
        <v>61</v>
      </c>
      <c r="F299" s="288" t="b">
        <f t="shared" si="8"/>
        <v>0</v>
      </c>
    </row>
    <row r="300" spans="1:6" x14ac:dyDescent="0.2">
      <c r="A300" s="338">
        <v>539</v>
      </c>
      <c r="B300" s="338" t="s">
        <v>1454</v>
      </c>
      <c r="C300" s="338" t="s">
        <v>1455</v>
      </c>
      <c r="D300" s="338">
        <v>20180</v>
      </c>
      <c r="E300" s="338" t="s">
        <v>61</v>
      </c>
      <c r="F300" s="288" t="b">
        <f t="shared" si="8"/>
        <v>0</v>
      </c>
    </row>
    <row r="301" spans="1:6" x14ac:dyDescent="0.2">
      <c r="A301" s="338">
        <v>175</v>
      </c>
      <c r="B301" s="338" t="s">
        <v>1047</v>
      </c>
      <c r="C301" s="338" t="s">
        <v>1048</v>
      </c>
      <c r="D301" s="338">
        <v>27980</v>
      </c>
      <c r="E301" s="338" t="s">
        <v>61</v>
      </c>
      <c r="F301" s="288" t="b">
        <f t="shared" si="8"/>
        <v>0</v>
      </c>
    </row>
    <row r="302" spans="1:6" x14ac:dyDescent="0.2">
      <c r="A302" s="338">
        <v>174</v>
      </c>
      <c r="B302" s="338" t="s">
        <v>1035</v>
      </c>
      <c r="C302" s="338" t="s">
        <v>1038</v>
      </c>
      <c r="D302" s="338">
        <v>22970</v>
      </c>
      <c r="E302" s="338" t="s">
        <v>61</v>
      </c>
      <c r="F302" s="288" t="b">
        <f t="shared" si="8"/>
        <v>0</v>
      </c>
    </row>
    <row r="303" spans="1:6" x14ac:dyDescent="0.2">
      <c r="A303" s="338">
        <v>727</v>
      </c>
      <c r="B303" s="338" t="s">
        <v>1516</v>
      </c>
      <c r="C303" s="338" t="s">
        <v>1517</v>
      </c>
      <c r="D303" s="338">
        <v>28650</v>
      </c>
      <c r="E303" s="338" t="s">
        <v>61</v>
      </c>
      <c r="F303" s="288" t="b">
        <f t="shared" si="8"/>
        <v>0</v>
      </c>
    </row>
    <row r="304" spans="1:6" x14ac:dyDescent="0.2">
      <c r="A304" s="339">
        <v>174</v>
      </c>
      <c r="B304" s="339" t="s">
        <v>1035</v>
      </c>
      <c r="C304" s="339" t="s">
        <v>1046</v>
      </c>
      <c r="D304" s="339">
        <v>23015</v>
      </c>
      <c r="E304" s="339" t="s">
        <v>61</v>
      </c>
      <c r="F304" s="288" t="b">
        <f t="shared" si="8"/>
        <v>0</v>
      </c>
    </row>
    <row r="305" spans="1:6" x14ac:dyDescent="0.2">
      <c r="A305" s="338">
        <v>174</v>
      </c>
      <c r="B305" s="338" t="s">
        <v>1035</v>
      </c>
      <c r="C305" s="338" t="s">
        <v>1045</v>
      </c>
      <c r="D305" s="338">
        <v>23010</v>
      </c>
      <c r="E305" s="338" t="s">
        <v>61</v>
      </c>
      <c r="F305" s="288" t="b">
        <f t="shared" si="8"/>
        <v>0</v>
      </c>
    </row>
    <row r="306" spans="1:6" x14ac:dyDescent="0.2">
      <c r="A306" s="338">
        <v>549</v>
      </c>
      <c r="B306" s="338" t="s">
        <v>1458</v>
      </c>
      <c r="C306" s="338" t="s">
        <v>1459</v>
      </c>
      <c r="D306" s="338">
        <v>20900</v>
      </c>
      <c r="E306" s="338" t="s">
        <v>61</v>
      </c>
      <c r="F306" s="288" t="b">
        <f t="shared" si="8"/>
        <v>0</v>
      </c>
    </row>
    <row r="307" spans="1:6" x14ac:dyDescent="0.2">
      <c r="A307" s="339">
        <v>551</v>
      </c>
      <c r="B307" s="339" t="s">
        <v>1460</v>
      </c>
      <c r="C307" s="339" t="s">
        <v>1461</v>
      </c>
      <c r="D307" s="339">
        <v>20985</v>
      </c>
      <c r="E307" s="339" t="s">
        <v>61</v>
      </c>
      <c r="F307" s="288" t="b">
        <f t="shared" si="8"/>
        <v>0</v>
      </c>
    </row>
    <row r="308" spans="1:6" x14ac:dyDescent="0.2">
      <c r="A308" s="338">
        <v>553</v>
      </c>
      <c r="B308" s="338" t="s">
        <v>1462</v>
      </c>
      <c r="C308" s="338" t="s">
        <v>1463</v>
      </c>
      <c r="D308" s="338">
        <v>22385</v>
      </c>
      <c r="E308" s="338" t="s">
        <v>61</v>
      </c>
      <c r="F308" s="288" t="b">
        <f t="shared" si="8"/>
        <v>0</v>
      </c>
    </row>
    <row r="309" spans="1:6" x14ac:dyDescent="0.2">
      <c r="A309" s="339">
        <v>352</v>
      </c>
      <c r="B309" s="339" t="s">
        <v>1253</v>
      </c>
      <c r="C309" s="339" t="s">
        <v>1260</v>
      </c>
      <c r="D309" s="339">
        <v>22205</v>
      </c>
      <c r="E309" s="339" t="s">
        <v>61</v>
      </c>
      <c r="F309" s="288" t="b">
        <f t="shared" si="8"/>
        <v>0</v>
      </c>
    </row>
    <row r="310" spans="1:6" x14ac:dyDescent="0.2">
      <c r="A310" s="338">
        <v>335</v>
      </c>
      <c r="B310" s="338" t="s">
        <v>906</v>
      </c>
      <c r="C310" s="338" t="s">
        <v>1228</v>
      </c>
      <c r="D310" s="338">
        <v>21635</v>
      </c>
      <c r="E310" s="338" t="s">
        <v>61</v>
      </c>
      <c r="F310" s="288" t="b">
        <f t="shared" si="8"/>
        <v>0</v>
      </c>
    </row>
    <row r="311" spans="1:6" x14ac:dyDescent="0.2">
      <c r="A311" s="339">
        <v>235</v>
      </c>
      <c r="B311" s="339" t="s">
        <v>1097</v>
      </c>
      <c r="C311" s="339" t="s">
        <v>1098</v>
      </c>
      <c r="D311" s="339">
        <v>21155</v>
      </c>
      <c r="E311" s="339" t="s">
        <v>61</v>
      </c>
      <c r="F311" s="288" t="b">
        <f t="shared" si="8"/>
        <v>0</v>
      </c>
    </row>
    <row r="312" spans="1:6" x14ac:dyDescent="0.2">
      <c r="A312" s="338">
        <v>559</v>
      </c>
      <c r="B312" s="338" t="s">
        <v>1467</v>
      </c>
      <c r="C312" s="338" t="s">
        <v>1468</v>
      </c>
      <c r="D312" s="338">
        <v>22390</v>
      </c>
      <c r="E312" s="338" t="s">
        <v>61</v>
      </c>
      <c r="F312" s="288" t="b">
        <f t="shared" si="8"/>
        <v>0</v>
      </c>
    </row>
    <row r="313" spans="1:6" x14ac:dyDescent="0.2">
      <c r="A313" s="339">
        <v>563</v>
      </c>
      <c r="B313" s="339" t="s">
        <v>1469</v>
      </c>
      <c r="C313" s="339" t="s">
        <v>1470</v>
      </c>
      <c r="D313" s="339">
        <v>21230</v>
      </c>
      <c r="E313" s="339" t="s">
        <v>61</v>
      </c>
      <c r="F313" s="288" t="b">
        <f t="shared" si="8"/>
        <v>0</v>
      </c>
    </row>
    <row r="314" spans="1:6" x14ac:dyDescent="0.2">
      <c r="A314" s="339">
        <v>335</v>
      </c>
      <c r="B314" s="339" t="s">
        <v>906</v>
      </c>
      <c r="C314" s="339" t="s">
        <v>1613</v>
      </c>
      <c r="D314" s="339">
        <v>21515</v>
      </c>
      <c r="E314" s="339" t="s">
        <v>61</v>
      </c>
      <c r="F314" s="288" t="b">
        <f t="shared" si="8"/>
        <v>0</v>
      </c>
    </row>
    <row r="315" spans="1:6" x14ac:dyDescent="0.2">
      <c r="A315" s="338">
        <v>279</v>
      </c>
      <c r="B315" s="338" t="s">
        <v>1159</v>
      </c>
      <c r="C315" s="338" t="s">
        <v>1165</v>
      </c>
      <c r="D315" s="338">
        <v>21200</v>
      </c>
      <c r="E315" s="338" t="s">
        <v>61</v>
      </c>
      <c r="F315" s="288" t="b">
        <f t="shared" si="8"/>
        <v>0</v>
      </c>
    </row>
    <row r="316" spans="1:6" x14ac:dyDescent="0.2">
      <c r="A316" s="339">
        <v>568</v>
      </c>
      <c r="B316" s="339" t="s">
        <v>1471</v>
      </c>
      <c r="C316" s="339" t="s">
        <v>1472</v>
      </c>
      <c r="D316" s="339">
        <v>26930</v>
      </c>
      <c r="E316" s="339" t="s">
        <v>61</v>
      </c>
      <c r="F316" s="288" t="b">
        <f t="shared" si="8"/>
        <v>0</v>
      </c>
    </row>
    <row r="317" spans="1:6" x14ac:dyDescent="0.2">
      <c r="A317" s="339">
        <v>461</v>
      </c>
      <c r="B317" s="339" t="s">
        <v>1379</v>
      </c>
      <c r="C317" s="339" t="s">
        <v>1384</v>
      </c>
      <c r="D317" s="339">
        <v>22690</v>
      </c>
      <c r="E317" s="339" t="s">
        <v>61</v>
      </c>
      <c r="F317" s="288" t="b">
        <f t="shared" si="8"/>
        <v>0</v>
      </c>
    </row>
    <row r="318" spans="1:6" x14ac:dyDescent="0.2">
      <c r="A318" s="339">
        <v>473</v>
      </c>
      <c r="B318" s="339" t="s">
        <v>1398</v>
      </c>
      <c r="C318" s="339" t="s">
        <v>1400</v>
      </c>
      <c r="D318" s="339">
        <v>22860</v>
      </c>
      <c r="E318" s="339" t="s">
        <v>61</v>
      </c>
      <c r="F318" s="288" t="b">
        <f t="shared" si="8"/>
        <v>0</v>
      </c>
    </row>
    <row r="319" spans="1:6" x14ac:dyDescent="0.2">
      <c r="A319" s="338">
        <v>473</v>
      </c>
      <c r="B319" s="338" t="s">
        <v>1398</v>
      </c>
      <c r="C319" s="338" t="s">
        <v>1401</v>
      </c>
      <c r="D319" s="338">
        <v>22865</v>
      </c>
      <c r="E319" s="338" t="s">
        <v>61</v>
      </c>
      <c r="F319" s="288" t="b">
        <f t="shared" si="8"/>
        <v>0</v>
      </c>
    </row>
    <row r="320" spans="1:6" x14ac:dyDescent="0.2">
      <c r="A320" s="338">
        <v>573</v>
      </c>
      <c r="B320" s="338" t="s">
        <v>1480</v>
      </c>
      <c r="C320" s="338" t="s">
        <v>1546</v>
      </c>
      <c r="D320" s="338">
        <v>21735</v>
      </c>
      <c r="E320" s="338" t="s">
        <v>61</v>
      </c>
      <c r="F320" s="288" t="b">
        <f t="shared" si="8"/>
        <v>0</v>
      </c>
    </row>
    <row r="321" spans="1:6" x14ac:dyDescent="0.2">
      <c r="A321" s="338">
        <v>712</v>
      </c>
      <c r="B321" s="338" t="s">
        <v>1508</v>
      </c>
      <c r="C321" s="338" t="s">
        <v>1508</v>
      </c>
      <c r="D321" s="338">
        <v>29193</v>
      </c>
      <c r="E321" s="338" t="s">
        <v>61</v>
      </c>
      <c r="F321" s="288" t="b">
        <f t="shared" si="8"/>
        <v>0</v>
      </c>
    </row>
    <row r="322" spans="1:6" x14ac:dyDescent="0.2">
      <c r="A322" s="338">
        <v>575</v>
      </c>
      <c r="B322" s="338" t="s">
        <v>1481</v>
      </c>
      <c r="C322" s="338" t="s">
        <v>1484</v>
      </c>
      <c r="D322" s="338">
        <v>21135</v>
      </c>
      <c r="E322" s="338" t="s">
        <v>61</v>
      </c>
      <c r="F322" s="288" t="b">
        <f t="shared" si="8"/>
        <v>0</v>
      </c>
    </row>
    <row r="323" spans="1:6" x14ac:dyDescent="0.2">
      <c r="A323" s="338">
        <v>285</v>
      </c>
      <c r="B323" s="338" t="s">
        <v>1168</v>
      </c>
      <c r="C323" s="338" t="s">
        <v>1172</v>
      </c>
      <c r="D323" s="338">
        <v>21285</v>
      </c>
      <c r="E323" s="338" t="s">
        <v>61</v>
      </c>
      <c r="F323" s="288" t="b">
        <f t="shared" si="8"/>
        <v>0</v>
      </c>
    </row>
    <row r="324" spans="1:6" x14ac:dyDescent="0.2">
      <c r="A324" s="338">
        <v>141</v>
      </c>
      <c r="B324" s="338" t="s">
        <v>1009</v>
      </c>
      <c r="C324" s="338" t="s">
        <v>1014</v>
      </c>
      <c r="D324" s="338">
        <v>20460</v>
      </c>
      <c r="E324" s="338" t="s">
        <v>61</v>
      </c>
      <c r="F324" s="288" t="b">
        <f t="shared" si="8"/>
        <v>0</v>
      </c>
    </row>
    <row r="325" spans="1:6" x14ac:dyDescent="0.2">
      <c r="A325" s="338">
        <v>238</v>
      </c>
      <c r="B325" s="338" t="s">
        <v>1099</v>
      </c>
      <c r="C325" s="338" t="s">
        <v>1100</v>
      </c>
      <c r="D325" s="338">
        <v>20905</v>
      </c>
      <c r="E325" s="338" t="s">
        <v>61</v>
      </c>
      <c r="F325" s="288" t="b">
        <f>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2021-09-20T16:32:20Z</cp:lastPrinted>
  <dcterms:created xsi:type="dcterms:W3CDTF">1997-12-04T19:04:30Z</dcterms:created>
  <dcterms:modified xsi:type="dcterms:W3CDTF">2021-12-14T17:11:41Z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