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30720" windowHeight="1351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7" i="1" l="1"/>
  <c r="F70" i="1" l="1"/>
  <c r="H289" i="1" l="1"/>
  <c r="H315" i="1" l="1"/>
  <c r="H162" i="1" l="1"/>
  <c r="H155" i="1"/>
  <c r="C10" i="12" l="1"/>
  <c r="I315" i="1"/>
  <c r="I296" i="1"/>
  <c r="I277" i="1"/>
  <c r="I234" i="1"/>
  <c r="I216" i="1"/>
  <c r="I198" i="1"/>
  <c r="H287" i="1" l="1"/>
  <c r="H327" i="1"/>
  <c r="H308" i="1"/>
  <c r="H278" i="1" l="1"/>
  <c r="G277" i="1"/>
  <c r="F13" i="13" l="1"/>
  <c r="F6" i="13"/>
  <c r="F5" i="13"/>
  <c r="D9" i="13" l="1"/>
  <c r="D11" i="13"/>
  <c r="I245" i="1" l="1"/>
  <c r="J245" i="1"/>
  <c r="J234" i="1"/>
  <c r="H369" i="1" l="1"/>
  <c r="G369" i="1"/>
  <c r="F369" i="1"/>
  <c r="F368" i="1"/>
  <c r="H368" i="1"/>
  <c r="G368" i="1"/>
  <c r="I217" i="1" l="1"/>
  <c r="J217" i="1"/>
  <c r="J605" i="1" l="1"/>
  <c r="I605" i="1"/>
  <c r="H605" i="1"/>
  <c r="J592" i="1" l="1"/>
  <c r="I592" i="1"/>
  <c r="H592" i="1"/>
  <c r="I598" i="1"/>
  <c r="H598" i="1"/>
  <c r="J596" i="1"/>
  <c r="I596" i="1"/>
  <c r="H596" i="1"/>
  <c r="J595" i="1"/>
  <c r="I595" i="1"/>
  <c r="G227" i="1"/>
  <c r="F227" i="1"/>
  <c r="G209" i="1"/>
  <c r="F209" i="1"/>
  <c r="G245" i="1"/>
  <c r="F245" i="1"/>
  <c r="H130" i="1" l="1"/>
  <c r="H164" i="1"/>
  <c r="H156" i="1"/>
  <c r="J216" i="1"/>
  <c r="J199" i="1"/>
  <c r="J198" i="1"/>
  <c r="H161" i="1" l="1"/>
  <c r="C39" i="12"/>
  <c r="B19" i="12" l="1"/>
  <c r="B10" i="12"/>
  <c r="G246" i="1" l="1"/>
  <c r="G244" i="1"/>
  <c r="G243" i="1"/>
  <c r="G242" i="1"/>
  <c r="G241" i="1"/>
  <c r="G240" i="1"/>
  <c r="G239" i="1"/>
  <c r="G237" i="1"/>
  <c r="G236" i="1"/>
  <c r="G235" i="1"/>
  <c r="G234" i="1"/>
  <c r="G228" i="1"/>
  <c r="G226" i="1"/>
  <c r="G225" i="1"/>
  <c r="G224" i="1"/>
  <c r="G223" i="1"/>
  <c r="G222" i="1"/>
  <c r="G221" i="1"/>
  <c r="G219" i="1"/>
  <c r="G217" i="1"/>
  <c r="G216" i="1"/>
  <c r="G210" i="1"/>
  <c r="G208" i="1"/>
  <c r="G207" i="1"/>
  <c r="G206" i="1"/>
  <c r="G205" i="1"/>
  <c r="G204" i="1"/>
  <c r="G203" i="1"/>
  <c r="G201" i="1"/>
  <c r="G199" i="1"/>
  <c r="G198" i="1"/>
  <c r="H159" i="1" l="1"/>
  <c r="G359" i="1" l="1"/>
  <c r="F359" i="1"/>
  <c r="K361" i="1"/>
  <c r="J361" i="1"/>
  <c r="I361" i="1"/>
  <c r="H361" i="1"/>
  <c r="G361" i="1"/>
  <c r="F361" i="1"/>
  <c r="K360" i="1"/>
  <c r="J360" i="1"/>
  <c r="I360" i="1"/>
  <c r="H360" i="1"/>
  <c r="G360" i="1"/>
  <c r="F360" i="1"/>
  <c r="K359" i="1"/>
  <c r="J359" i="1"/>
  <c r="I359" i="1"/>
  <c r="H359" i="1"/>
  <c r="G320" i="1" l="1"/>
  <c r="F320" i="1"/>
  <c r="I317" i="1"/>
  <c r="G317" i="1"/>
  <c r="F317" i="1"/>
  <c r="K317" i="1"/>
  <c r="J317" i="1"/>
  <c r="H317" i="1"/>
  <c r="J315" i="1"/>
  <c r="G315" i="1"/>
  <c r="F315" i="1"/>
  <c r="H321" i="1"/>
  <c r="J325" i="1"/>
  <c r="I325" i="1"/>
  <c r="H325" i="1"/>
  <c r="F301" i="1"/>
  <c r="G301" i="1"/>
  <c r="H301" i="1"/>
  <c r="I320" i="1"/>
  <c r="H320" i="1"/>
  <c r="H318" i="1"/>
  <c r="J316" i="1"/>
  <c r="I316" i="1"/>
  <c r="H316" i="1"/>
  <c r="G316" i="1"/>
  <c r="F316" i="1"/>
  <c r="J296" i="1"/>
  <c r="G296" i="1"/>
  <c r="F296" i="1"/>
  <c r="H307" i="1"/>
  <c r="J306" i="1"/>
  <c r="I306" i="1"/>
  <c r="H306" i="1"/>
  <c r="H302" i="1"/>
  <c r="I301" i="1"/>
  <c r="H299" i="1"/>
  <c r="J299" i="1"/>
  <c r="I299" i="1"/>
  <c r="G299" i="1"/>
  <c r="F299" i="1"/>
  <c r="J297" i="1"/>
  <c r="I297" i="1"/>
  <c r="H297" i="1"/>
  <c r="G297" i="1"/>
  <c r="F297" i="1"/>
  <c r="H296" i="1"/>
  <c r="G282" i="1" l="1"/>
  <c r="F282" i="1"/>
  <c r="G278" i="1"/>
  <c r="F278" i="1"/>
  <c r="K278" i="1"/>
  <c r="J278" i="1"/>
  <c r="I278" i="1"/>
  <c r="J277" i="1"/>
  <c r="H277" i="1"/>
  <c r="F277" i="1"/>
  <c r="H288" i="1"/>
  <c r="J287" i="1"/>
  <c r="I287" i="1"/>
  <c r="H283" i="1"/>
  <c r="F283" i="1"/>
  <c r="H282" i="1"/>
  <c r="I282" i="1"/>
  <c r="H280" i="1"/>
  <c r="J280" i="1"/>
  <c r="I280" i="1"/>
  <c r="G280" i="1"/>
  <c r="F280" i="1"/>
  <c r="I244" i="1" l="1"/>
  <c r="H244" i="1"/>
  <c r="F244" i="1"/>
  <c r="K242" i="1"/>
  <c r="J242" i="1"/>
  <c r="I242" i="1"/>
  <c r="H242" i="1"/>
  <c r="F242" i="1"/>
  <c r="H241" i="1"/>
  <c r="F241" i="1"/>
  <c r="I240" i="1"/>
  <c r="H240" i="1"/>
  <c r="F240" i="1"/>
  <c r="J239" i="1"/>
  <c r="I239" i="1"/>
  <c r="H239" i="1"/>
  <c r="F239" i="1"/>
  <c r="K239" i="1"/>
  <c r="K237" i="1"/>
  <c r="J237" i="1"/>
  <c r="I237" i="1"/>
  <c r="H237" i="1"/>
  <c r="F237" i="1"/>
  <c r="J236" i="1"/>
  <c r="I236" i="1"/>
  <c r="H236" i="1"/>
  <c r="F236" i="1"/>
  <c r="H235" i="1"/>
  <c r="I235" i="1"/>
  <c r="F235" i="1"/>
  <c r="K234" i="1"/>
  <c r="H234" i="1"/>
  <c r="F234" i="1"/>
  <c r="F246" i="1"/>
  <c r="K245" i="1"/>
  <c r="H245" i="1"/>
  <c r="K244" i="1"/>
  <c r="J244" i="1"/>
  <c r="K243" i="1"/>
  <c r="I243" i="1"/>
  <c r="H243" i="1"/>
  <c r="F243" i="1"/>
  <c r="K241" i="1"/>
  <c r="I241" i="1"/>
  <c r="J241" i="1"/>
  <c r="H226" i="1" l="1"/>
  <c r="F226" i="1"/>
  <c r="K224" i="1"/>
  <c r="J224" i="1"/>
  <c r="I224" i="1"/>
  <c r="H224" i="1"/>
  <c r="F224" i="1"/>
  <c r="J222" i="1"/>
  <c r="I222" i="1"/>
  <c r="F222" i="1"/>
  <c r="H222" i="1"/>
  <c r="K221" i="1"/>
  <c r="J221" i="1"/>
  <c r="H221" i="1"/>
  <c r="F221" i="1"/>
  <c r="I221" i="1"/>
  <c r="H219" i="1"/>
  <c r="I219" i="1"/>
  <c r="F219" i="1"/>
  <c r="K219" i="1"/>
  <c r="F217" i="1"/>
  <c r="H217" i="1"/>
  <c r="K216" i="1"/>
  <c r="H216" i="1"/>
  <c r="F216" i="1"/>
  <c r="F228" i="1"/>
  <c r="K227" i="1"/>
  <c r="J227" i="1"/>
  <c r="I227" i="1"/>
  <c r="H227" i="1"/>
  <c r="K226" i="1"/>
  <c r="J226" i="1"/>
  <c r="I226" i="1"/>
  <c r="K225" i="1"/>
  <c r="I225" i="1"/>
  <c r="H225" i="1"/>
  <c r="F225" i="1"/>
  <c r="K223" i="1"/>
  <c r="I223" i="1"/>
  <c r="H223" i="1"/>
  <c r="F223" i="1"/>
  <c r="J223" i="1"/>
  <c r="I199" i="1"/>
  <c r="H199" i="1"/>
  <c r="F199" i="1"/>
  <c r="I208" i="1"/>
  <c r="H208" i="1"/>
  <c r="F208" i="1"/>
  <c r="K207" i="1"/>
  <c r="I206" i="1"/>
  <c r="H206" i="1"/>
  <c r="F206" i="1"/>
  <c r="I204" i="1"/>
  <c r="H204" i="1"/>
  <c r="F204" i="1"/>
  <c r="K203" i="1"/>
  <c r="I203" i="1"/>
  <c r="H203" i="1"/>
  <c r="F203" i="1"/>
  <c r="H201" i="1"/>
  <c r="I201" i="1"/>
  <c r="F201" i="1"/>
  <c r="H198" i="1"/>
  <c r="F198" i="1"/>
  <c r="H207" i="1" l="1"/>
  <c r="H205" i="1"/>
  <c r="F210" i="1" l="1"/>
  <c r="K209" i="1"/>
  <c r="J209" i="1"/>
  <c r="I209" i="1"/>
  <c r="H209" i="1"/>
  <c r="K208" i="1"/>
  <c r="J208" i="1"/>
  <c r="I207" i="1"/>
  <c r="F207" i="1"/>
  <c r="K205" i="1"/>
  <c r="I205" i="1"/>
  <c r="F205" i="1"/>
  <c r="J205" i="1" l="1"/>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C12" i="10" s="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G663"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1"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H409" i="1" s="1"/>
  <c r="H645" i="1" s="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3" i="1"/>
  <c r="H653" i="1"/>
  <c r="G654" i="1"/>
  <c r="H654" i="1"/>
  <c r="G655" i="1"/>
  <c r="H655" i="1"/>
  <c r="H656" i="1"/>
  <c r="J656" i="1" s="1"/>
  <c r="G62" i="2"/>
  <c r="I170" i="1"/>
  <c r="J572" i="1" l="1"/>
  <c r="G553" i="1"/>
  <c r="H477" i="1"/>
  <c r="H625" i="1" s="1"/>
  <c r="J652" i="1"/>
  <c r="D50" i="2"/>
  <c r="G477" i="1"/>
  <c r="H624" i="1" s="1"/>
  <c r="J624" i="1" s="1"/>
  <c r="C125" i="2"/>
  <c r="C119" i="2"/>
  <c r="G662" i="1"/>
  <c r="E123" i="2"/>
  <c r="E119" i="2"/>
  <c r="E112" i="2"/>
  <c r="G339" i="1"/>
  <c r="G353" i="1" s="1"/>
  <c r="K339" i="1"/>
  <c r="K353" i="1" s="1"/>
  <c r="H663" i="1"/>
  <c r="C13" i="10"/>
  <c r="G651" i="1"/>
  <c r="J651" i="1" s="1"/>
  <c r="D15" i="13"/>
  <c r="C15" i="13" s="1"/>
  <c r="E13" i="13"/>
  <c r="C13" i="13" s="1"/>
  <c r="C112" i="2"/>
  <c r="A40" i="12"/>
  <c r="C120" i="2"/>
  <c r="D6" i="13"/>
  <c r="C6" i="13" s="1"/>
  <c r="C110" i="2"/>
  <c r="J258" i="1"/>
  <c r="J272" i="1" s="1"/>
  <c r="F258" i="1"/>
  <c r="F272" i="1" s="1"/>
  <c r="C20" i="10"/>
  <c r="I370" i="1"/>
  <c r="H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94" i="1" l="1"/>
  <c r="G630" i="1" s="1"/>
  <c r="J630" i="1" s="1"/>
  <c r="B33" i="16"/>
  <c r="F194" i="1"/>
  <c r="C81" i="2"/>
  <c r="E128" i="2"/>
  <c r="E145" i="2" s="1"/>
  <c r="G24" i="14"/>
  <c r="H24" i="14" s="1"/>
  <c r="I24" i="14" s="1"/>
  <c r="F661" i="1"/>
  <c r="F665" i="1" s="1"/>
  <c r="F668" i="1" s="1"/>
  <c r="I663" i="1"/>
  <c r="H649" i="1"/>
  <c r="J649" i="1" s="1"/>
  <c r="H661" i="1"/>
  <c r="H665" i="1" s="1"/>
  <c r="H668" i="1"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<sst xmlns="http://schemas.openxmlformats.org/spreadsheetml/2006/main" count="5579" uniqueCount="1677">
  <si>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</si>
  <si>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</si>
  <si>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</si>
  <si>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</si>
  <si>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</si>
  <si>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</si>
  <si>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</si>
  <si>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</si>
  <si>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</si>
  <si>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</si>
  <si>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</si>
  <si>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</si>
  <si>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</si>
  <si>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</si>
  <si>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</si>
  <si>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</si>
  <si>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</si>
  <si>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</si>
  <si>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</si>
  <si>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</si>
  <si>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</si>
  <si>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</si>
  <si>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</si>
  <si>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</si>
  <si>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</si>
  <si>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</si>
  <si>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</si>
  <si>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</si>
  <si>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</si>
  <si>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</si>
  <si>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</si>
  <si>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</si>
  <si>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</si>
  <si>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</si>
  <si>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</si>
  <si>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</si>
  <si>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</si>
  <si>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</si>
  <si>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</si>
  <si>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</si>
  <si>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</si>
  <si>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</si>
  <si>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</si>
  <si>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</si>
  <si>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</si>
  <si>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</si>
  <si>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</si>
  <si>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</si>
  <si>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</si>
  <si>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</si>
  <si>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</si>
  <si>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</si>
  <si>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</si>
  <si>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</si>
  <si>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</si>
  <si>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</si>
  <si>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</si>
  <si>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</si>
  <si>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</si>
  <si>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</si>
  <si>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</si>
  <si>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</si>
  <si>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</si>
  <si>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</si>
  <si>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</si>
  <si>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</si>
  <si>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</si>
  <si>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</si>
  <si>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</si>
  <si>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</si>
  <si>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</si>
  <si>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</si>
  <si>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</si>
  <si>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</si>
  <si>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</si>
  <si>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</si>
  <si>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</si>
  <si>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</si>
  <si>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</si>
  <si>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</si>
  <si>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</si>
  <si>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</si>
  <si>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</si>
  <si>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</si>
  <si>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</si>
  <si>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</si>
  <si>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</si>
  <si>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</si>
  <si>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</si>
  <si>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</si>
  <si>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</si>
  <si>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</si>
  <si>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</si>
  <si>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</si>
  <si>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</si>
  <si>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</si>
  <si>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</si>
  <si>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</si>
  <si>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</si>
  <si>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</si>
  <si>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</si>
  <si>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</si>
  <si>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</si>
  <si>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</si>
  <si>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</si>
  <si>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</si>
  <si>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</si>
  <si>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</si>
  <si>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</si>
  <si>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</si>
  <si>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</si>
  <si>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</si>
  <si>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</si>
  <si>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</si>
  <si>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</si>
  <si>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</si>
  <si>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</si>
  <si>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</si>
  <si>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</si>
  <si>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</si>
  <si>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</si>
  <si>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</si>
  <si>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</si>
  <si>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</si>
  <si>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</si>
  <si>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</si>
  <si>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</si>
  <si>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</si>
  <si>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</si>
  <si>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</si>
  <si>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</si>
  <si>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</si>
  <si>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</si>
  <si>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</si>
  <si>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</si>
  <si>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</si>
  <si>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</si>
  <si>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</si>
  <si>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</si>
  <si>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</si>
  <si>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</si>
  <si>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</si>
  <si>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</si>
  <si>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</si>
  <si>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</si>
  <si>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</si>
  <si>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</si>
  <si>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</si>
  <si>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</si>
  <si>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</si>
  <si>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</si>
  <si>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</si>
  <si>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</si>
  <si>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</si>
  <si>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</si>
  <si>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</si>
  <si>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</si>
  <si>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</si>
  <si>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</si>
  <si>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</si>
  <si>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</si>
  <si>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</si>
  <si>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</si>
  <si>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</si>
  <si>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</si>
  <si>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</si>
  <si>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</si>
  <si>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</si>
  <si>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</si>
  <si>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</si>
  <si>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</si>
  <si>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</si>
  <si>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</si>
  <si>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</si>
  <si>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</si>
  <si>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</si>
  <si>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</si>
  <si>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</si>
  <si>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</si>
  <si>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</si>
  <si>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</si>
  <si>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</si>
  <si>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</si>
  <si>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</si>
  <si>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</si>
  <si>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</si>
  <si>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</si>
  <si>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</si>
  <si>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</si>
  <si>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</si>
  <si>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</si>
  <si>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</si>
  <si>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</si>
  <si>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</si>
  <si>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</si>
  <si>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</si>
  <si>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</si>
  <si>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</si>
  <si>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</si>
  <si>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</si>
  <si>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</si>
  <si>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</si>
  <si>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</si>
  <si>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</si>
  <si>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</si>
  <si>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</si>
  <si>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</si>
  <si>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</si>
  <si>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</si>
  <si>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</si>
  <si>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</si>
  <si>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</si>
  <si>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</si>
  <si>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</si>
  <si>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</si>
  <si>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</si>
  <si>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</si>
  <si>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</si>
  <si>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</si>
  <si>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</si>
  <si>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</si>
  <si>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</si>
  <si>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</si>
  <si>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</si>
  <si>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</si>
  <si>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</si>
  <si>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</si>
  <si>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</si>
  <si>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</si>
  <si>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</si>
  <si>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</si>
  <si>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</si>
  <si>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</si>
  <si>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</si>
  <si>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</si>
  <si>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</si>
  <si>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</si>
  <si>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</si>
  <si>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</si>
  <si>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</si>
  <si>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</si>
  <si>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</si>
  <si>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</si>
  <si>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</si>
  <si>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</si>
  <si>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</si>
  <si>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</si>
  <si>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</si>
  <si>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</si>
  <si>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</si>
  <si>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</si>
  <si>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</si>
  <si>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</si>
  <si>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</si>
  <si>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</si>
  <si>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</si>
  <si>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</si>
  <si>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</si>
  <si>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</si>
  <si>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</si>
  <si>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</si>
  <si>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</si>
  <si>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</si>
  <si>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</si>
  <si>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</si>
  <si>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</si>
  <si>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</si>
  <si>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</si>
  <si>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</si>
  <si>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</si>
  <si>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</si>
  <si>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</si>
  <si>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</si>
  <si>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</si>
  <si>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</si>
  <si>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</si>
  <si>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</si>
  <si>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</si>
  <si>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</si>
  <si>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</si>
  <si>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</si>
  <si>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</si>
  <si>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</si>
  <si>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</si>
  <si>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</si>
  <si>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</si>
  <si>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</si>
  <si>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</si>
  <si>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</si>
  <si>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</si>
  <si>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</si>
  <si>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</si>
  <si>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</si>
  <si>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</si>
  <si>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</si>
  <si>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</si>
  <si>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</si>
  <si>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</si>
  <si>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</si>
  <si>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</si>
  <si>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</si>
  <si>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</si>
  <si>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</si>
  <si>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</si>
  <si>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</si>
  <si>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</si>
  <si>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</si>
  <si>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</si>
  <si>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</si>
  <si>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</si>
  <si>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</si>
  <si>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</si>
  <si>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</si>
  <si>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</si>
  <si>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</si>
  <si>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</si>
  <si>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</si>
  <si>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</si>
  <si>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</si>
  <si>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</si>
  <si>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</si>
  <si>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</si>
  <si>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</si>
  <si>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</si>
  <si>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</si>
  <si>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</si>
  <si>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</si>
  <si>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</si>
  <si>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</si>
  <si>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</si>
  <si>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</si>
  <si>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</si>
  <si>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</si>
  <si>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</si>
  <si>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</si>
  <si>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</si>
  <si>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</si>
  <si>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</si>
  <si>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</si>
  <si>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</si>
  <si>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</si>
  <si>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</si>
  <si>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</si>
  <si>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</si>
  <si>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</si>
  <si>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</si>
  <si>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</si>
  <si>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</si>
  <si>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</si>
  <si>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</si>
  <si>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</si>
  <si>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</si>
  <si>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</si>
  <si>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</si>
  <si>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</si>
  <si>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</si>
  <si>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</si>
  <si>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</si>
  <si>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</si>
  <si>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</si>
  <si>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</si>
  <si>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</si>
  <si>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</si>
  <si>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</si>
  <si>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</si>
  <si>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</si>
  <si>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</si>
  <si>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</si>
  <si>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</si>
  <si>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</si>
  <si>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</si>
  <si>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</si>
  <si>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</si>
  <si>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</si>
  <si>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</si>
  <si>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</si>
  <si>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</si>
  <si>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</si>
  <si>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</si>
  <si>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</si>
  <si>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</si>
  <si>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</si>
  <si>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</si>
  <si>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</si>
  <si>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</si>
  <si>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</si>
  <si>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</si>
  <si>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</si>
  <si>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</si>
  <si>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</si>
  <si>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</si>
  <si>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</si>
  <si>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</si>
  <si>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</si>
  <si>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</si>
  <si>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</si>
  <si>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</si>
  <si>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</si>
  <si>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</si>
  <si>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</si>
  <si>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</si>
  <si>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</si>
  <si>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</si>
  <si>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</si>
  <si>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</si>
  <si>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</si>
  <si>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</si>
  <si>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</si>
  <si>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</si>
  <si>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</si>
  <si>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</si>
  <si>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</si>
  <si>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</si>
  <si>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</si>
  <si>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</si>
  <si>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</si>
  <si>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</si>
  <si>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</si>
  <si>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</si>
  <si>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</si>
  <si>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</si>
  <si>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</si>
  <si>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</si>
  <si>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</si>
  <si>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</si>
  <si>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</si>
  <si>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</si>
  <si>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</si>
  <si>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</si>
  <si>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</si>
  <si>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</si>
  <si>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</si>
  <si>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</si>
  <si>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</si>
  <si>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</si>
  <si>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</si>
  <si>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</si>
  <si>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</si>
  <si>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</si>
  <si>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</si>
  <si>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</si>
  <si>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</si>
  <si>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</si>
  <si>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</si>
  <si>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</si>
  <si>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</si>
  <si>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</si>
  <si>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</si>
  <si>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</si>
  <si>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</si>
  <si>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</si>
  <si>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</si>
  <si>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</si>
  <si>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</si>
  <si>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</si>
  <si>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</si>
  <si>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</si>
  <si>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</si>
  <si>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</si>
  <si>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</si>
  <si>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</si>
  <si>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</si>
  <si>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</si>
  <si>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</si>
  <si>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</si>
  <si>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</si>
  <si>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</si>
  <si>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</si>
  <si>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</si>
  <si>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</si>
  <si>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</si>
  <si>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</si>
  <si>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</si>
  <si>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</si>
  <si>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</si>
  <si>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</si>
  <si>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</si>
  <si>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</si>
  <si>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</si>
  <si>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</si>
  <si>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</si>
  <si>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</si>
  <si>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</si>
  <si>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</si>
  <si>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</si>
  <si>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</si>
  <si>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</si>
  <si>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</si>
  <si>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</si>
  <si>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</si>
  <si>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</si>
  <si>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</si>
  <si>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</si>
  <si>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</si>
  <si>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</si>
  <si>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</si>
  <si>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</si>
  <si>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</si>
  <si>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</si>
  <si>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</si>
  <si>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</si>
  <si>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</si>
  <si>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</si>
  <si>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</si>
  <si>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</si>
  <si>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</si>
  <si>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</si>
  <si>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</si>
  <si>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</si>
  <si>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</si>
  <si>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</si>
  <si>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</si>
  <si>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</si>
  <si>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</si>
  <si>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</si>
  <si>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</si>
  <si>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</si>
  <si>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</si>
  <si>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</si>
  <si>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</si>
  <si>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</si>
  <si>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</si>
  <si>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</si>
  <si>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</si>
  <si>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</si>
  <si>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</si>
  <si>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</si>
  <si>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</si>
  <si>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</si>
  <si>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</si>
  <si>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</si>
  <si>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</si>
  <si>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</si>
  <si>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</si>
  <si>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</si>
  <si>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</si>
  <si>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</si>
  <si>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</si>
  <si>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</si>
  <si>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</si>
  <si>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</si>
  <si>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</si>
  <si>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</si>
  <si>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</si>
  <si>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</si>
  <si>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</si>
  <si>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</si>
  <si>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</si>
  <si>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</si>
  <si>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</si>
  <si>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</si>
  <si>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</si>
  <si>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</si>
  <si>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</si>
  <si>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</si>
  <si>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</si>
  <si>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</si>
  <si>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</si>
  <si>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</si>
  <si>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</si>
  <si>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</si>
  <si>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</si>
  <si>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</si>
  <si>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</si>
  <si>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</si>
  <si>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</si>
  <si>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</si>
  <si>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</si>
  <si>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</si>
  <si>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</si>
  <si>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</si>
  <si>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</si>
  <si>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</si>
  <si>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</si>
  <si>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</si>
  <si>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</si>
  <si>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</si>
  <si>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</si>
  <si>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</si>
  <si>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</si>
  <si>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</si>
  <si>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</si>
  <si>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</si>
  <si>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</si>
  <si>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</si>
  <si>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</si>
  <si>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</si>
  <si>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</si>
  <si>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</si>
  <si>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</si>
  <si>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</si>
  <si>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</si>
  <si>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</si>
  <si>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</si>
  <si>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</si>
  <si>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</si>
  <si>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</si>
  <si>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</si>
  <si>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</si>
  <si>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</si>
  <si>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</si>
  <si>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</si>
  <si>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</si>
  <si>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</si>
  <si>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</si>
  <si>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</si>
  <si>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</si>
  <si>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</si>
  <si>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</si>
  <si>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</si>
  <si>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</si>
  <si>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</si>
  <si>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</si>
  <si>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</si>
  <si>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</si>
  <si>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</si>
  <si>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</si>
  <si>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</si>
  <si>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</si>
  <si>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</si>
  <si>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</si>
  <si>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</si>
  <si>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</si>
  <si>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</si>
  <si>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</si>
  <si>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</si>
  <si>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</si>
  <si>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</si>
  <si>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</si>
  <si>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</si>
  <si>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</si>
  <si>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</si>
  <si>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</si>
  <si>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</si>
  <si>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</si>
  <si>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</si>
  <si>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</si>
  <si>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</si>
  <si>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</si>
  <si>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</si>
  <si>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</si>
  <si>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</si>
  <si>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</si>
  <si>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</si>
  <si>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</si>
  <si>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</si>
  <si>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</si>
  <si>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</si>
  <si>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</si>
  <si>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</si>
  <si>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</si>
  <si>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</si>
  <si>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</si>
  <si>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</si>
  <si>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</si>
  <si>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</si>
  <si>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</si>
  <si>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</si>
  <si>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</si>
  <si>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</si>
  <si>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</si>
  <si>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</si>
  <si>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</si>
  <si>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</si>
  <si>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</si>
  <si>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</si>
  <si>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</si>
  <si>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</si>
  <si>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</si>
  <si>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</si>
  <si>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</si>
  <si>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</si>
  <si>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</si>
  <si>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</si>
  <si>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</si>
  <si>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</si>
  <si>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</si>
  <si>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</si>
  <si>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</si>
  <si>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</si>
  <si>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</si>
  <si>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</si>
  <si>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</si>
  <si>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</si>
  <si>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</si>
  <si>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</si>
  <si>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</si>
  <si>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</si>
  <si>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</si>
  <si>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</si>
  <si>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</si>
  <si>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</si>
  <si>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</si>
  <si>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</si>
  <si>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</si>
  <si>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</si>
  <si>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</si>
  <si>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</si>
  <si>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</si>
  <si>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</si>
  <si>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</si>
  <si>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</si>
  <si>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</si>
  <si>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</si>
  <si>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</si>
  <si>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</si>
  <si>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</si>
  <si>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</si>
  <si>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</si>
  <si>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</si>
  <si>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</si>
  <si>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</si>
  <si>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</si>
  <si>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</si>
  <si>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</si>
  <si>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</si>
  <si>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</si>
  <si>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</si>
  <si>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</si>
  <si>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</si>
  <si>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</si>
  <si>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</si>
  <si>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</si>
  <si>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</si>
  <si>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</si>
  <si>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</si>
  <si>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</si>
  <si>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</si>
  <si>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</si>
  <si>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</si>
  <si>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</si>
  <si>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</si>
  <si>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</si>
  <si>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</si>
  <si>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</si>
  <si>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</si>
  <si>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</si>
  <si>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</si>
  <si>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</si>
  <si>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</si>
  <si>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</si>
  <si>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</si>
  <si>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</si>
  <si>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</si>
  <si>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</si>
  <si>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</si>
  <si>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</si>
  <si>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</si>
  <si>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</si>
  <si>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</si>
  <si>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</si>
  <si>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</si>
  <si>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</si>
  <si>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</si>
  <si>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</si>
  <si>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</si>
  <si>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</si>
  <si>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</si>
  <si>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</si>
  <si>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</si>
  <si>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</si>
  <si>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</si>
  <si>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</si>
  <si>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</si>
  <si>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</si>
  <si>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</si>
  <si>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</si>
  <si>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</si>
  <si>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</si>
  <si>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</si>
  <si>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</si>
  <si>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</si>
  <si>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</si>
  <si>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</si>
  <si>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</si>
  <si>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</si>
  <si>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</si>
  <si>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</si>
  <si>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</si>
  <si>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</si>
  <si>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</si>
  <si>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</si>
  <si>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</si>
  <si>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</si>
  <si>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</si>
  <si>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</si>
  <si>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</si>
  <si>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</si>
  <si>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</si>
  <si>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</si>
  <si>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</si>
  <si>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</si>
  <si>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</si>
  <si>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</si>
  <si>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</si>
  <si>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</si>
  <si>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</si>
  <si>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</si>
  <si>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</si>
  <si>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</si>
  <si>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</si>
  <si>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</si>
  <si>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</si>
  <si>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</si>
  <si>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</si>
  <si>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</si>
  <si>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</si>
  <si>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</si>
  <si>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</si>
  <si>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</si>
  <si>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</si>
  <si>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</si>
  <si>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</si>
  <si>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</si>
  <si>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</si>
  <si>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</si>
  <si>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</si>
  <si>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</si>
  <si>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</si>
  <si>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</si>
  <si>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</si>
  <si>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</si>
  <si>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</si>
  <si>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</si>
  <si>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</si>
  <si>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</si>
  <si>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</si>
  <si>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</si>
  <si>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</si>
  <si>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</si>
  <si>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</si>
  <si>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</si>
  <si>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</si>
  <si>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</si>
  <si>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</si>
  <si>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</si>
  <si>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</si>
  <si>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</si>
  <si>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</si>
  <si>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</si>
  <si>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</si>
  <si>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</si>
  <si>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</si>
  <si>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</si>
  <si>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</si>
  <si>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</si>
  <si>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</si>
  <si>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</si>
  <si>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</si>
  <si>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</si>
  <si>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</si>
  <si>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</si>
  <si>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</si>
  <si>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</si>
  <si>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</si>
  <si>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</si>
  <si>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</si>
  <si>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</si>
  <si>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</si>
  <si>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</si>
  <si>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</si>
  <si>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</si>
  <si>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</si>
  <si>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</si>
  <si>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</si>
  <si>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</si>
  <si>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</si>
  <si>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</si>
  <si>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</si>
  <si>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</si>
  <si>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</si>
  <si>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</si>
  <si>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</si>
  <si>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</si>
  <si>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</si>
  <si>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</si>
  <si>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</si>
  <si>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</si>
  <si>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</si>
  <si>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</si>
  <si>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</si>
  <si>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</si>
  <si>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</si>
  <si>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</si>
  <si>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</si>
  <si>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</si>
  <si>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</si>
  <si>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</si>
  <si>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</si>
  <si>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</si>
  <si>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</si>
  <si>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</si>
  <si>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</si>
  <si>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</si>
  <si>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</si>
  <si>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</si>
  <si>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</si>
  <si>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</si>
  <si>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</si>
  <si>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</si>
  <si>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</si>
  <si>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</si>
  <si>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</si>
  <si>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</si>
  <si>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</si>
  <si>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</si>
  <si>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</si>
  <si>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</si>
  <si>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</si>
  <si>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</si>
  <si>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</si>
  <si>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</si>
  <si>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</si>
  <si>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</si>
  <si>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</si>
  <si>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</si>
  <si>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</si>
  <si>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</si>
  <si>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</si>
  <si>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</si>
  <si>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</si>
  <si>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</si>
  <si>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</si>
  <si>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</si>
  <si>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</si>
  <si>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</si>
  <si>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</si>
  <si>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</si>
  <si>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</si>
  <si>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</si>
  <si>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</si>
  <si>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</si>
  <si>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</si>
  <si>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</si>
  <si>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</si>
  <si>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</si>
  <si>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</si>
  <si>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</si>
  <si>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</si>
  <si>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</si>
  <si>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</si>
  <si>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</si>
  <si>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</si>
  <si>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</si>
  <si>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</si>
  <si>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</si>
  <si>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</si>
  <si>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</si>
  <si>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</si>
  <si>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</si>
  <si>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</si>
  <si>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</si>
  <si>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</si>
  <si>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</si>
  <si>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</si>
  <si>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</si>
  <si>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</si>
  <si>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</si>
  <si>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</si>
  <si>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</si>
  <si>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</si>
  <si>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</si>
  <si>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</si>
  <si>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</si>
  <si>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</si>
  <si>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</si>
  <si>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</si>
  <si>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</si>
  <si>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</si>
  <si>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</si>
  <si>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</si>
  <si>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</si>
  <si>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</si>
  <si>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</si>
  <si>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</si>
  <si>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</si>
  <si>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</si>
  <si>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</si>
  <si>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</si>
  <si>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</si>
  <si>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</si>
  <si>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</si>
  <si>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</si>
  <si>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</si>
  <si>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</si>
  <si>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</si>
  <si>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</si>
  <si>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</si>
  <si>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</si>
  <si>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</si>
  <si>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</si>
  <si>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</si>
  <si>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</si>
  <si>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</si>
  <si>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</si>
  <si>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</si>
  <si>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</si>
  <si>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</si>
  <si>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</si>
  <si>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</si>
  <si>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</si>
  <si>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</si>
  <si>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</si>
  <si>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</si>
  <si>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</si>
  <si>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</si>
  <si>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</si>
  <si>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</si>
  <si>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</si>
  <si>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</si>
  <si>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</si>
  <si>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</si>
  <si>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</si>
  <si>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</si>
  <si>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</si>
  <si>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</si>
  <si>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</si>
  <si>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</si>
  <si>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</si>
  <si>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</si>
  <si>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</si>
  <si>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</si>
  <si>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</si>
  <si>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</si>
  <si>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</si>
  <si>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</si>
  <si>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</si>
  <si>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</si>
  <si>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</si>
  <si>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</si>
  <si>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</si>
  <si>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</si>
  <si>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</si>
  <si>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</si>
  <si>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</si>
  <si>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</si>
  <si>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</si>
  <si>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</si>
  <si>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</si>
  <si>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</si>
  <si>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</si>
  <si>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</si>
  <si>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</si>
  <si>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</si>
  <si>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</si>
  <si>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</si>
  <si>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</si>
  <si>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</si>
  <si>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</si>
  <si>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</si>
  <si>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</si>
  <si>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</si>
  <si>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</si>
  <si>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</si>
  <si>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</si>
  <si>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</si>
  <si>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</si>
  <si>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</si>
  <si>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</si>
  <si>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</si>
  <si>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</si>
  <si>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</si>
  <si>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</si>
  <si>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</si>
  <si>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</si>
  <si>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</si>
  <si>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</si>
  <si>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</si>
  <si>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</si>
  <si>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</si>
  <si>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</si>
  <si>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</si>
  <si>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</si>
  <si>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</si>
  <si>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</si>
  <si>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</si>
  <si>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</si>
  <si>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</si>
  <si>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</si>
  <si>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</si>
  <si>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</si>
  <si>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</si>
  <si>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</si>
  <si>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</si>
  <si>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</si>
  <si>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</si>
  <si>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</si>
  <si>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</si>
  <si>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</si>
  <si>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</si>
  <si>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</si>
  <si>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</si>
  <si>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</si>
  <si>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</si>
  <si>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</si>
  <si>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</si>
  <si>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</si>
  <si>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</si>
  <si>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</si>
  <si>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</si>
  <si>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</si>
  <si>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</si>
  <si>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</si>
  <si>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</si>
  <si>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</si>
  <si>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</si>
  <si>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</si>
  <si>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</si>
  <si>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</si>
  <si>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</si>
  <si>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</si>
  <si>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</si>
  <si>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</si>
  <si>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</si>
  <si>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</si>
  <si>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</si>
  <si>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</si>
  <si>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</si>
  <si>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</si>
  <si>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</si>
  <si>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</si>
  <si>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</si>
  <si>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</si>
  <si>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</si>
  <si>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</si>
  <si>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</si>
  <si>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</si>
  <si>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</si>
  <si>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</si>
  <si>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</si>
  <si>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</si>
  <si>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</si>
  <si>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</si>
  <si>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</si>
  <si>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</si>
  <si>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</si>
  <si>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</si>
  <si>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</si>
  <si>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</si>
  <si>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</si>
  <si>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</si>
  <si>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</si>
  <si>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</si>
  <si>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</si>
  <si>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</si>
  <si>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</si>
  <si>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</si>
  <si>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</si>
  <si>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</si>
  <si>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</si>
  <si>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</si>
  <si>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</si>
  <si>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</si>
  <si>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</si>
  <si>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</si>
  <si>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</si>
  <si>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</si>
  <si>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</si>
  <si>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</si>
  <si>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</si>
  <si>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</si>
  <si>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</si>
  <si>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</si>
  <si>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</si>
  <si>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</si>
  <si>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</si>
  <si>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</si>
  <si>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</si>
  <si>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</si>
  <si>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</si>
  <si>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</si>
  <si>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</si>
  <si>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</si>
  <si>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</si>
  <si>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</si>
  <si>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</si>
  <si>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</si>
  <si>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</si>
  <si>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</si>
  <si>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</si>
  <si>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</si>
  <si>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</si>
  <si>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</si>
  <si>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</si>
  <si>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</si>
  <si>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</si>
  <si>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</si>
  <si>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</si>
  <si>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</si>
  <si>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</si>
  <si>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</si>
  <si>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</si>
  <si>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</si>
  <si>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</si>
  <si>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</si>
  <si>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</si>
  <si>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</si>
  <si>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</si>
  <si>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</si>
  <si>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</si>
  <si>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</si>
  <si>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</si>
  <si>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</si>
  <si>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</si>
  <si>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</si>
  <si>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</si>
  <si>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</si>
  <si>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</si>
  <si>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</si>
  <si>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</si>
  <si>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</si>
  <si>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</si>
  <si>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</si>
  <si>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</si>
  <si>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</si>
  <si>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</si>
  <si>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</si>
  <si>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</si>
  <si>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</si>
  <si>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</si>
  <si>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</si>
  <si>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</si>
  <si>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</si>
  <si>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</si>
  <si>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</si>
  <si>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</si>
  <si>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</si>
  <si>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</si>
  <si>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</si>
  <si>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</si>
  <si>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</si>
  <si>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</si>
  <si>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</si>
  <si>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</si>
  <si>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</si>
  <si>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</si>
  <si>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</si>
  <si>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</si>
  <si>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</si>
  <si>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</si>
  <si>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</si>
  <si>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</si>
  <si>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</si>
  <si>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</si>
  <si>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</si>
  <si>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</si>
  <si>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</si>
  <si>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</si>
  <si>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</si>
  <si>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</si>
  <si>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</si>
  <si>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</si>
  <si>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</si>
  <si>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</si>
  <si>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</si>
  <si>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</si>
  <si>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</si>
  <si>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</si>
  <si>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</si>
  <si>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</si>
  <si>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</si>
  <si>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</si>
  <si>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</si>
  <si>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</si>
  <si>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</si>
  <si>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</si>
  <si>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</si>
  <si>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</si>
  <si>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</si>
  <si>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</si>
  <si>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</si>
  <si>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</si>
  <si>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</si>
  <si>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</si>
  <si>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</si>
  <si>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</si>
  <si>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</si>
  <si>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</si>
  <si>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</si>
  <si>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</si>
  <si>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</si>
  <si>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</si>
  <si>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</si>
  <si>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</si>
  <si>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</si>
  <si>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</si>
  <si>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</si>
  <si>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</si>
  <si>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</si>
  <si>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</si>
  <si>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</si>
  <si>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</si>
  <si>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</si>
  <si>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</si>
  <si>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</si>
  <si>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</si>
  <si>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</si>
  <si>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</si>
  <si>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</si>
  <si>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</si>
  <si>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</si>
  <si>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</si>
  <si>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</si>
  <si>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</si>
  <si>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</si>
  <si>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</si>
  <si>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</si>
  <si>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</si>
  <si>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</si>
  <si>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</si>
  <si>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</si>
  <si>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</si>
  <si>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</si>
  <si>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</si>
  <si>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</si>
  <si>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</si>
  <si>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</si>
  <si>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</si>
  <si>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</si>
  <si>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</si>
  <si>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</si>
  <si>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</si>
  <si>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</si>
  <si>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</si>
  <si>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</si>
  <si>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</si>
  <si>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</si>
  <si>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</si>
  <si>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</si>
  <si>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</si>
  <si>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</si>
  <si>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</si>
  <si>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</si>
  <si>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</si>
  <si>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</si>
  <si>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</si>
  <si>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</si>
  <si>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</si>
  <si>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</si>
  <si>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</si>
  <si>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</si>
  <si>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</si>
  <si>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</si>
  <si>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</si>
  <si>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</si>
  <si>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</si>
  <si>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</si>
  <si>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</si>
  <si>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</si>
  <si>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</si>
  <si>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</si>
  <si>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</si>
  <si>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</si>
  <si>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</si>
  <si>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</si>
  <si>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</si>
  <si>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</si>
  <si>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</si>
  <si>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</si>
  <si>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</si>
  <si>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</si>
  <si>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</si>
  <si>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</si>
  <si>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</si>
  <si>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</si>
  <si>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</si>
  <si>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</si>
  <si>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</si>
  <si>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</si>
  <si>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</si>
  <si>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</si>
  <si>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</si>
  <si>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</si>
  <si>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</si>
  <si>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</si>
  <si>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</si>
  <si>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</si>
  <si>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</si>
  <si>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</si>
  <si>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</si>
  <si>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</si>
  <si>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</si>
  <si>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</si>
  <si>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</si>
  <si>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</si>
  <si>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</si>
  <si>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</si>
  <si>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</si>
  <si>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</si>
  <si>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</si>
  <si>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</si>
  <si>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</si>
  <si>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</si>
  <si>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</si>
  <si>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</si>
  <si>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</si>
  <si>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</si>
  <si>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</si>
  <si>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</si>
  <si>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</si>
  <si>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</si>
  <si>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</si>
  <si>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</si>
  <si>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</si>
  <si>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</si>
  <si>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</si>
  <si>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</si>
  <si>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</si>
  <si>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</si>
  <si>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</si>
  <si>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</si>
  <si>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</si>
  <si>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</si>
  <si>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</si>
  <si>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</si>
  <si>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</si>
  <si>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</si>
  <si>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</si>
  <si>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</si>
  <si>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</si>
  <si>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</si>
  <si>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</si>
  <si>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</si>
  <si>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</si>
  <si>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</si>
  <si>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</si>
  <si>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</si>
  <si>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</si>
  <si>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</si>
  <si>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</si>
  <si>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</si>
  <si>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</si>
  <si>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</si>
  <si>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</si>
  <si>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</si>
  <si>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</si>
  <si>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</si>
  <si>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</si>
  <si>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</si>
  <si>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</si>
  <si>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</si>
  <si>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</si>
  <si>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</si>
  <si>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</si>
  <si>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</si>
  <si>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</si>
  <si>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</si>
  <si>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</si>
  <si>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</si>
  <si>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</si>
  <si>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</si>
  <si>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</si>
  <si>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</si>
  <si>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</si>
  <si>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</si>
  <si>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</si>
  <si>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</si>
  <si>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</si>
  <si>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</si>
  <si>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</si>
  <si>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</si>
  <si>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</si>
  <si>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</si>
  <si>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</si>
  <si>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</si>
  <si>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</si>
  <si>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</si>
  <si>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</si>
  <si>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</si>
  <si>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</si>
  <si>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</si>
  <si>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</si>
  <si>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</si>
  <si>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</si>
  <si>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</si>
  <si>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</si>
  <si>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</si>
  <si>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</si>
  <si>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</si>
  <si>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</si>
  <si>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</si>
  <si>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</si>
  <si>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</si>
  <si>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</si>
  <si>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</si>
  <si>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</si>
  <si>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</si>
  <si>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</si>
  <si>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</si>
  <si>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</si>
  <si>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</si>
  <si>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</si>
  <si>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</si>
  <si>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</si>
  <si>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</si>
  <si>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</si>
  <si>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</si>
  <si>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</si>
  <si>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</si>
  <si>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</si>
  <si>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</si>
  <si>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</si>
  <si>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</si>
  <si>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</si>
  <si>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</si>
  <si>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</si>
  <si>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</si>
  <si>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</si>
  <si>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</si>
  <si>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</si>
  <si>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</si>
  <si>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</si>
  <si>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</si>
  <si>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</si>
  <si>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</si>
  <si>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</si>
  <si>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</si>
  <si>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</si>
  <si>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</si>
  <si>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</si>
  <si>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</si>
  <si>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</si>
  <si>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</si>
  <si>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</si>
  <si>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</si>
  <si>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</si>
  <si>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</si>
  <si>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</si>
  <si>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</si>
  <si>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</si>
  <si>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</si>
  <si>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</si>
  <si>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</si>
  <si>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</si>
  <si>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</si>
  <si>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</si>
  <si>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</si>
  <si>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</si>
  <si>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</si>
  <si>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</si>
  <si>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</si>
  <si>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</si>
  <si>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</si>
  <si>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</si>
  <si>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</si>
  <si>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</si>
  <si>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</si>
  <si>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</si>
  <si>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</si>
  <si>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</si>
  <si>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</si>
  <si>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</si>
  <si>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</si>
  <si>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</si>
  <si>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</si>
  <si>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</si>
  <si>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</si>
  <si>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</si>
  <si>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</si>
  <si>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</si>
  <si>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</si>
  <si>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</si>
  <si>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</si>
  <si>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</si>
  <si>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</si>
  <si>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</si>
  <si>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</si>
  <si>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</si>
  <si>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</si>
  <si>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</si>
  <si>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</si>
  <si>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</si>
  <si>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</si>
  <si>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</si>
  <si>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</si>
  <si>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</si>
  <si>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</si>
  <si>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</si>
  <si>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</si>
  <si>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</si>
  <si>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</si>
  <si>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</si>
  <si>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</si>
  <si>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</si>
  <si>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</si>
  <si>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</si>
  <si>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</si>
  <si>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</si>
  <si>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</si>
  <si>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</si>
  <si>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</si>
  <si>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</si>
  <si>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</si>
  <si>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</si>
  <si>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</si>
  <si>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</si>
  <si>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</si>
  <si>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</si>
  <si>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</si>
  <si>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</si>
  <si>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</si>
  <si>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</si>
  <si>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</si>
  <si>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</si>
  <si>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</si>
  <si>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</si>
  <si>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</si>
  <si>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</si>
  <si>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</si>
  <si>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</si>
  <si>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</si>
  <si>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</si>
  <si>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</si>
  <si>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</si>
  <si>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</si>
  <si>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</si>
  <si>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</si>
  <si>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</si>
  <si>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</si>
  <si>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</si>
  <si>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</si>
  <si>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</si>
  <si>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</si>
  <si>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</si>
  <si>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</si>
  <si>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</si>
  <si>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</si>
  <si>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</si>
  <si>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</si>
  <si>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</si>
  <si>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</si>
  <si>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</si>
  <si>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</si>
  <si>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</si>
  <si>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</si>
  <si>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</si>
  <si>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</si>
  <si>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</si>
  <si>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</si>
  <si>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</si>
  <si>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</si>
  <si>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</si>
  <si>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</si>
  <si>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</si>
  <si>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</si>
  <si>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</si>
  <si>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</si>
  <si>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</si>
  <si>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</si>
  <si>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</si>
  <si>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</si>
  <si>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</si>
  <si>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</si>
  <si>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</si>
  <si>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</si>
  <si>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</si>
  <si>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</si>
  <si>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</si>
  <si>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</si>
  <si>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</si>
  <si>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</si>
  <si>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</si>
  <si>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</si>
  <si>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</si>
  <si>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</si>
  <si>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</si>
  <si>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</si>
  <si>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</si>
  <si>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</si>
  <si>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</si>
  <si>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</si>
  <si>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</si>
  <si>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Salaries &amp; Benefits Tab, account code 1400, benefits.  I was off a penny and needed to adjust the cell by 1 cent.</t>
  </si>
  <si>
    <t>We are a dependent school district and as such, were unable to use the amount provided by the DOE</t>
  </si>
  <si>
    <t>Foods Services Tab, last year I selected NO as audited, the food services is audited every year.  I selected YES this year.</t>
  </si>
  <si>
    <t>01/10</t>
  </si>
  <si>
    <t>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</si>
</sst>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0" fontId="4" fillId="0" borderId="3" xfId="0" applyNumberFormat="1" applyFont="1" applyBorder="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89" zoomScaleNormal="89" workbookViewId="0">
      <pane xSplit="5" ySplit="3" topLeftCell="F637"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941</v>
      </c>
      <c r="B2" s="21">
        <v>51</v>
      </c>
      <c r="C2" s="21">
        <v>51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v>117801.49999999988</v>
      </c>
      <c r="H9" s="18">
        <v>32557.48</v>
      </c>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0</v>
      </c>
      <c r="G19" s="41">
        <f>SUM(G9:G18)</f>
        <v>117801.49999999988</v>
      </c>
      <c r="H19" s="41">
        <f>SUM(H9:H18)</f>
        <v>32557.48</v>
      </c>
      <c r="I19" s="41">
        <f>SUM(I9:I18)</f>
        <v>0</v>
      </c>
      <c r="J19" s="41">
        <f>SUM(J9:J18)</f>
        <v>0</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117801.49999999988</v>
      </c>
      <c r="H48" s="18">
        <v>32557.48</v>
      </c>
      <c r="I48" s="18"/>
      <c r="J48" s="13">
        <f>SUM(I460)</f>
        <v>0</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0</v>
      </c>
      <c r="G51" s="41">
        <f>SUM(G35:G50)</f>
        <v>117801.49999999988</v>
      </c>
      <c r="H51" s="41">
        <f>SUM(H35:H50)</f>
        <v>32557.48</v>
      </c>
      <c r="I51" s="41">
        <f>SUM(I35:I50)</f>
        <v>0</v>
      </c>
      <c r="J51" s="41">
        <f>SUM(J35:J50)</f>
        <v>0</v>
      </c>
      <c r="K51" s="45" t="s">
        <v>288</v>
      </c>
      <c r="L51" s="45" t="s">
        <v>288</v>
      </c>
      <c r="N51" s="262"/>
    </row>
    <row r="52" spans="1:14" s="3" customFormat="1" ht="12.2" customHeight="1" thickTop="1" x14ac:dyDescent="0.15">
      <c r="A52" s="38" t="s">
        <v>455</v>
      </c>
      <c r="B52" s="39" t="s">
        <v>289</v>
      </c>
      <c r="C52" s="6">
        <v>37</v>
      </c>
      <c r="D52" s="39" t="s">
        <v>653</v>
      </c>
      <c r="E52" s="39"/>
      <c r="F52" s="41">
        <f>F51+F32</f>
        <v>0</v>
      </c>
      <c r="G52" s="41">
        <f>G51+G32</f>
        <v>117801.49999999988</v>
      </c>
      <c r="H52" s="41">
        <f>H51+H32</f>
        <v>32557.48</v>
      </c>
      <c r="I52" s="41">
        <f>I51+I32</f>
        <v>0</v>
      </c>
      <c r="J52" s="41">
        <f>J51+J32</f>
        <v>0</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2527968.99+4442.87</f>
        <v>2532411.8600000003</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2532411.8600000003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1450775.63</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f>82331.81-4442.87</f>
        <v>77888.94</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1528664.5699999998</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v>17588.62</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62529.08</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193508.44</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193508.44</v>
      </c>
      <c r="G111" s="41">
        <f>SUM(G96:G110)</f>
        <v>17588.62</v>
      </c>
      <c r="H111" s="41">
        <f>SUM(H96:H110)</f>
        <v>62529.08</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4254584.87</v>
      </c>
      <c r="G112" s="41">
        <f>G60+G111</f>
        <v>17588.62</v>
      </c>
      <c r="H112" s="41">
        <f>H60+H79+H94+H111</f>
        <v>62529.08</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12071097.800000001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633911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243.81</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12705252.610000001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0</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77169.3</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0</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f>4304.51</f>
        <v>4304.51</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12586.36</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77169.3</v>
      </c>
      <c r="G136" s="41">
        <f>SUM(G123:G135)</f>
        <v>12586.36</v>
      </c>
      <c r="H136" s="41">
        <f>SUM(H123:H135)</f>
        <v>4304.51</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12782421.910000002</v>
      </c>
      <c r="G140" s="41">
        <f>G121+SUM(G136:G137)</f>
        <v>12586.36</v>
      </c>
      <c r="H140" s="41">
        <f>H121+SUM(H136:H139)</f>
        <v>4304.51</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770529.7</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428042.54+39514.58</f>
        <v>467557.12</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f>58701.46</f>
        <v>58701.46</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666408.25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13459.62+337359.93</f>
        <v>350819.55</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248214.56</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336878.52+19062.55</f>
        <v>355941.07</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506582.17+367344.85+5848.06</f>
        <v>879775.08000000007</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248214.56</v>
      </c>
      <c r="G163" s="41">
        <f>SUM(G150:G162)</f>
        <v>666408.25</v>
      </c>
      <c r="H163" s="41">
        <f>SUM(H150:H162)</f>
        <v>2883323.98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f>14946.03</f>
        <v>14946.03</v>
      </c>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18240.48</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266455.03999999998</v>
      </c>
      <c r="G170" s="41">
        <f>G147+G163+SUM(G164:G169)</f>
        <v>666408.25</v>
      </c>
      <c r="H170" s="41">
        <f>H147+H163+SUM(H164:H169)</f>
        <v>2898270.01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17303461.82</v>
      </c>
      <c r="G194" s="47">
        <f>G112+G140+G170+G193</f>
        <v>696583.23</v>
      </c>
      <c r="H194" s="47">
        <f>H112+H140+H170+H193</f>
        <v>2965103.5999999996</v>
      </c>
      <c r="I194" s="47">
        <f>I112+I140+I170+I193</f>
        <v>0</v>
      </c>
      <c r="J194" s="47">
        <f>J112+J140+J193</f>
        <v>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80761.69+1787047.14</f>
        <v>1867808.8299999998</v>
      </c>
      <c r="G198" s="18">
        <f>41405.93+830460.93+15710.54</f>
        <v>887577.40000000014</v>
      </c>
      <c r="H198" s="18">
        <f>24007.29+2250</f>
        <v>26257.29</v>
      </c>
      <c r="I198" s="18">
        <f>13748.41+58720.1</f>
        <v>72468.509999999995</v>
      </c>
      <c r="J198" s="18">
        <f>39621.49+19081.51+6450.48</f>
        <v>65153.479999999996</v>
      </c>
      <c r="K198" s="18"/>
      <c r="L198" s="19">
        <f>SUM(F198:K198)</f>
        <v>2919265.51</v>
      </c>
      <c r="M198" s="8"/>
      <c r="N198" s="264"/>
    </row>
    <row r="199" spans="1:14" s="3" customFormat="1" ht="12.2" customHeight="1" x14ac:dyDescent="0.15">
      <c r="A199" s="1" t="s">
        <v>439</v>
      </c>
      <c r="B199" s="2" t="s">
        <v>341</v>
      </c>
      <c r="C199" s="2" t="s">
        <v>291</v>
      </c>
      <c r="D199" s="2" t="s">
        <v>431</v>
      </c>
      <c r="E199" s="6">
        <v>1200</v>
      </c>
      <c r="F199" s="18">
        <f>3792.18+1434.01+733969.47+104641.2</f>
        <v>843836.85999999987</v>
      </c>
      <c r="G199" s="18">
        <f>109.7+508.19+243255.18+39787.79+6217.54</f>
        <v>289878.39999999997</v>
      </c>
      <c r="H199" s="18">
        <f>36215.67+23661+158229.72+1920</f>
        <v>220026.39</v>
      </c>
      <c r="I199" s="18">
        <f>246.98+2345.65+331.38+600.75</f>
        <v>3524.76</v>
      </c>
      <c r="J199" s="18">
        <f>3965</f>
        <v>3965</v>
      </c>
      <c r="K199" s="18"/>
      <c r="L199" s="19">
        <f>SUM(F199:K199)</f>
        <v>1361231.41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f>22006.67+16350</f>
        <v>38356.67</v>
      </c>
      <c r="G201" s="18">
        <f>2804.56+2753.2+322.63</f>
        <v>5880.39</v>
      </c>
      <c r="H201" s="18">
        <f>5050+42175.93</f>
        <v>47225.93</v>
      </c>
      <c r="I201" s="18">
        <f>981.12</f>
        <v>981.12</v>
      </c>
      <c r="J201" s="18"/>
      <c r="K201" s="18"/>
      <c r="L201" s="19">
        <f>SUM(F201:K201)</f>
        <v>92444.109999999986</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97275.93+202015.64+52288.85+81983.88</f>
        <v>433564.3</v>
      </c>
      <c r="G203" s="18">
        <f>48534.87+80648.18+22116.24+22334.62+4526.96</f>
        <v>178160.86999999997</v>
      </c>
      <c r="H203" s="18">
        <f>6512+5583.02+306.56+22466.97+267100.75+2682+2280</f>
        <v>306931.3</v>
      </c>
      <c r="I203" s="18">
        <f>2339.16+1932.27+29.9+886.72</f>
        <v>5188.05</v>
      </c>
      <c r="J203" s="18"/>
      <c r="K203" s="18">
        <f>189+49.95</f>
        <v>238.95</v>
      </c>
      <c r="L203" s="19">
        <f t="shared" ref="L203:L209" si="0">SUM(F203:K203)</f>
        <v>924083.47</v>
      </c>
      <c r="M203" s="8"/>
      <c r="N203" s="264"/>
    </row>
    <row r="204" spans="1:14" s="3" customFormat="1" ht="12.2" customHeight="1" x14ac:dyDescent="0.15">
      <c r="A204" s="1" t="s">
        <v>443</v>
      </c>
      <c r="B204" s="2" t="s">
        <v>341</v>
      </c>
      <c r="C204" s="2" t="s">
        <v>295</v>
      </c>
      <c r="D204" s="2" t="s">
        <v>431</v>
      </c>
      <c r="E204" s="6">
        <v>2200</v>
      </c>
      <c r="F204" s="18">
        <f>198+55354</f>
        <v>55552</v>
      </c>
      <c r="G204" s="18">
        <f>114.54+16358.09+30839.89+467.26</f>
        <v>47779.780000000006</v>
      </c>
      <c r="H204" s="18">
        <f>1575.52</f>
        <v>1575.52</v>
      </c>
      <c r="I204" s="18">
        <f>1569.78+8168.74</f>
        <v>9738.52</v>
      </c>
      <c r="J204" s="18"/>
      <c r="K204" s="18"/>
      <c r="L204" s="19">
        <f t="shared" si="0"/>
        <v>114645.82</v>
      </c>
      <c r="M204" s="8"/>
      <c r="N204" s="264"/>
    </row>
    <row r="205" spans="1:14" s="3" customFormat="1" ht="12.2" customHeight="1" x14ac:dyDescent="0.15">
      <c r="A205" s="1" t="s">
        <v>444</v>
      </c>
      <c r="B205" s="2" t="s">
        <v>341</v>
      </c>
      <c r="C205" s="2" t="s">
        <v>296</v>
      </c>
      <c r="D205" s="2" t="s">
        <v>431</v>
      </c>
      <c r="E205" s="6">
        <v>2300</v>
      </c>
      <c r="F205" s="18">
        <f>73530.93+63917.11</f>
        <v>137448.03999999998</v>
      </c>
      <c r="G205" s="18">
        <f>24436.34+15559.77+1156.11</f>
        <v>41152.22</v>
      </c>
      <c r="H205" s="18">
        <f>3805.88+8526.5+2739.06</f>
        <v>15071.44</v>
      </c>
      <c r="I205" s="18">
        <f>10692.31+2424.02</f>
        <v>13116.33</v>
      </c>
      <c r="J205" s="18">
        <f>1846.45</f>
        <v>1846.45</v>
      </c>
      <c r="K205" s="18">
        <f>10305.49+6300.21+712.95</f>
        <v>17318.650000000001</v>
      </c>
      <c r="L205" s="19">
        <f t="shared" si="0"/>
        <v>225953.12999999998</v>
      </c>
      <c r="M205" s="8"/>
      <c r="N205" s="264"/>
    </row>
    <row r="206" spans="1:14" s="3" customFormat="1" ht="12.2" customHeight="1" x14ac:dyDescent="0.15">
      <c r="A206" s="1" t="s">
        <v>445</v>
      </c>
      <c r="B206" s="2" t="s">
        <v>341</v>
      </c>
      <c r="C206" s="2" t="s">
        <v>297</v>
      </c>
      <c r="D206" s="2" t="s">
        <v>431</v>
      </c>
      <c r="E206" s="6">
        <v>2400</v>
      </c>
      <c r="F206" s="18">
        <f>248540.61</f>
        <v>248540.61</v>
      </c>
      <c r="G206" s="18">
        <f>96295.15+2090.53</f>
        <v>98385.68</v>
      </c>
      <c r="H206" s="18">
        <f>34774.81</f>
        <v>34774.81</v>
      </c>
      <c r="I206" s="18">
        <f>34</f>
        <v>34</v>
      </c>
      <c r="J206" s="18"/>
      <c r="K206" s="18"/>
      <c r="L206" s="19">
        <f t="shared" si="0"/>
        <v>381735.1</v>
      </c>
      <c r="M206" s="8"/>
      <c r="N206" s="264"/>
    </row>
    <row r="207" spans="1:14" s="3" customFormat="1" ht="12.2" customHeight="1" x14ac:dyDescent="0.15">
      <c r="A207" s="1" t="s">
        <v>446</v>
      </c>
      <c r="B207" s="2" t="s">
        <v>341</v>
      </c>
      <c r="C207" s="2" t="s">
        <v>298</v>
      </c>
      <c r="D207" s="2" t="s">
        <v>431</v>
      </c>
      <c r="E207" s="6">
        <v>2500</v>
      </c>
      <c r="F207" s="18">
        <f>75375.94</f>
        <v>75375.94</v>
      </c>
      <c r="G207" s="18">
        <f>22579.37+634</f>
        <v>23213.37</v>
      </c>
      <c r="H207" s="18">
        <f>305.63</f>
        <v>305.63</v>
      </c>
      <c r="I207" s="18">
        <f>65.56</f>
        <v>65.56</v>
      </c>
      <c r="J207" s="18"/>
      <c r="K207" s="18">
        <f>88+2527.34</f>
        <v>2615.34</v>
      </c>
      <c r="L207" s="19">
        <f t="shared" si="0"/>
        <v>101575.84</v>
      </c>
      <c r="M207" s="8"/>
      <c r="N207" s="264"/>
    </row>
    <row r="208" spans="1:14" s="3" customFormat="1" ht="12.2" customHeight="1" x14ac:dyDescent="0.15">
      <c r="A208" s="1" t="s">
        <v>447</v>
      </c>
      <c r="B208" s="2" t="s">
        <v>341</v>
      </c>
      <c r="C208" s="2" t="s">
        <v>299</v>
      </c>
      <c r="D208" s="2" t="s">
        <v>431</v>
      </c>
      <c r="E208" s="6">
        <v>2600</v>
      </c>
      <c r="F208" s="18">
        <f>95007.87+125602.87</f>
        <v>220610.74</v>
      </c>
      <c r="G208" s="18">
        <f>40887.95+54793.71+1855.61</f>
        <v>97537.27</v>
      </c>
      <c r="H208" s="18">
        <f>95388.58+5820.56+16000+12404+4379.62</f>
        <v>133992.76</v>
      </c>
      <c r="I208" s="18">
        <f>38861.75+136481.79</f>
        <v>175343.54</v>
      </c>
      <c r="J208" s="18">
        <f>13346.04</f>
        <v>13346.04</v>
      </c>
      <c r="K208" s="18">
        <f>21.71</f>
        <v>21.71</v>
      </c>
      <c r="L208" s="19">
        <f t="shared" si="0"/>
        <v>640852.06000000006</v>
      </c>
      <c r="M208" s="8"/>
      <c r="N208" s="264"/>
    </row>
    <row r="209" spans="1:14" s="3" customFormat="1" ht="12.2" customHeight="1" x14ac:dyDescent="0.15">
      <c r="A209" s="1" t="s">
        <v>448</v>
      </c>
      <c r="B209" s="2" t="s">
        <v>341</v>
      </c>
      <c r="C209" s="2" t="s">
        <v>300</v>
      </c>
      <c r="D209" s="2" t="s">
        <v>431</v>
      </c>
      <c r="E209" s="6">
        <v>2700</v>
      </c>
      <c r="F209" s="18">
        <f>96335.18+36.62+2274.73</f>
        <v>98646.529999999984</v>
      </c>
      <c r="G209" s="18">
        <f>22863.73+2.79+826.08+173.76</f>
        <v>23866.36</v>
      </c>
      <c r="H209" s="18">
        <f>37168.66</f>
        <v>37168.660000000003</v>
      </c>
      <c r="I209" s="18">
        <f>19674.48</f>
        <v>19674.48</v>
      </c>
      <c r="J209" s="18">
        <f>8333.82</f>
        <v>8333.82</v>
      </c>
      <c r="K209" s="18">
        <f>202.8</f>
        <v>202.8</v>
      </c>
      <c r="L209" s="19">
        <f t="shared" si="0"/>
        <v>187892.65</v>
      </c>
      <c r="M209" s="8"/>
      <c r="N209" s="264"/>
    </row>
    <row r="210" spans="1:14" s="3" customFormat="1" ht="12.2" customHeight="1" x14ac:dyDescent="0.15">
      <c r="A210" s="1" t="s">
        <v>449</v>
      </c>
      <c r="B210" s="2" t="s">
        <v>341</v>
      </c>
      <c r="C210" s="2" t="s">
        <v>343</v>
      </c>
      <c r="D210" s="2" t="s">
        <v>431</v>
      </c>
      <c r="E210" s="6">
        <v>2800</v>
      </c>
      <c r="F210" s="18">
        <f>1638.05</f>
        <v>1638.05</v>
      </c>
      <c r="G210" s="18">
        <f>125.3+13.78</f>
        <v>139.07999999999998</v>
      </c>
      <c r="H210" s="18"/>
      <c r="I210" s="18"/>
      <c r="J210" s="18"/>
      <c r="K210" s="18"/>
      <c r="L210" s="19">
        <f>SUM(F210:K210)</f>
        <v>1777.1299999999999</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4021378.5699999989</v>
      </c>
      <c r="G212" s="41">
        <f t="shared" si="1"/>
        <v>1693570.82</v>
      </c>
      <c r="H212" s="41">
        <f t="shared" si="1"/>
        <v>823329.73</v>
      </c>
      <c r="I212" s="41">
        <f t="shared" si="1"/>
        <v>300134.87</v>
      </c>
      <c r="J212" s="41">
        <f t="shared" si="1"/>
        <v>92644.790000000008</v>
      </c>
      <c r="K212" s="41">
        <f t="shared" si="1"/>
        <v>20397.45</v>
      </c>
      <c r="L212" s="41">
        <f t="shared" si="1"/>
        <v>6951456.2299999995</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40380.84+1007223.91</f>
        <v>1047604.75</v>
      </c>
      <c r="G216" s="18">
        <f>20702.96+498796.83+8811.63</f>
        <v>528311.42000000004</v>
      </c>
      <c r="H216" s="18">
        <f>12003.64+125</f>
        <v>12128.64</v>
      </c>
      <c r="I216" s="18">
        <f>6874.21+53201.54</f>
        <v>60075.75</v>
      </c>
      <c r="J216" s="18">
        <f>19810.74+8031.2+1815</f>
        <v>29656.940000000002</v>
      </c>
      <c r="K216" s="18">
        <f>6032.5</f>
        <v>6032.5</v>
      </c>
      <c r="L216" s="19">
        <f>SUM(F216:K216)</f>
        <v>1683809.9999999998</v>
      </c>
      <c r="M216" s="8"/>
      <c r="N216" s="264"/>
    </row>
    <row r="217" spans="1:14" s="3" customFormat="1" ht="12.2" customHeight="1" x14ac:dyDescent="0.15">
      <c r="A217" s="1" t="s">
        <v>439</v>
      </c>
      <c r="B217" s="2" t="s">
        <v>346</v>
      </c>
      <c r="C217" s="2" t="s">
        <v>291</v>
      </c>
      <c r="D217" s="2" t="s">
        <v>431</v>
      </c>
      <c r="E217" s="6">
        <v>1200</v>
      </c>
      <c r="F217" s="18">
        <f>1106.05+614.58+381152.58+74434.86</f>
        <v>457308.07</v>
      </c>
      <c r="G217" s="18">
        <f>47.01+148.22+169735.99+43190.42+3846.52</f>
        <v>216968.16</v>
      </c>
      <c r="H217" s="18">
        <f>15521+353207.26</f>
        <v>368728.26</v>
      </c>
      <c r="I217" s="18">
        <f>72.04+252.13+99.96</f>
        <v>424.13</v>
      </c>
      <c r="J217" s="18">
        <f>501.13</f>
        <v>501.13</v>
      </c>
      <c r="K217" s="18"/>
      <c r="L217" s="19">
        <f>SUM(F217:K217)</f>
        <v>1043929.75</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f>13939.77+31983</f>
        <v>45922.770000000004</v>
      </c>
      <c r="G219" s="18">
        <f>2502.58+6266.86+386.27</f>
        <v>9155.7099999999991</v>
      </c>
      <c r="H219" s="18">
        <f>2830.8+7821.07</f>
        <v>10651.869999999999</v>
      </c>
      <c r="I219" s="18">
        <f>4149.23</f>
        <v>4149.2299999999996</v>
      </c>
      <c r="J219" s="18"/>
      <c r="K219" s="18">
        <f>1905.86</f>
        <v>1905.86</v>
      </c>
      <c r="L219" s="19">
        <f>SUM(F219:K219)</f>
        <v>71785.440000000002</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33488.43+91538.33+50543.56+45830</f>
        <v>221400.32000000001</v>
      </c>
      <c r="G221" s="18">
        <f>16708.73+36543.7+21567.45+20441.4+1476.76</f>
        <v>96738.04</v>
      </c>
      <c r="H221" s="18">
        <f>3256+1922.03+138.91+10180.35+33012.45+28188.92+2446.54</f>
        <v>79145.2</v>
      </c>
      <c r="I221" s="18">
        <f>805.29+875.56+923.06</f>
        <v>2603.91</v>
      </c>
      <c r="J221" s="18">
        <f>955.96+485.13</f>
        <v>1441.0900000000001</v>
      </c>
      <c r="K221" s="18">
        <f>388+255</f>
        <v>643</v>
      </c>
      <c r="L221" s="19">
        <f t="shared" ref="L221:L227" si="2">SUM(F221:K221)</f>
        <v>401971.56</v>
      </c>
      <c r="M221" s="8"/>
      <c r="N221" s="264"/>
    </row>
    <row r="222" spans="1:14" s="3" customFormat="1" ht="12.2" customHeight="1" x14ac:dyDescent="0.15">
      <c r="A222" s="1" t="s">
        <v>443</v>
      </c>
      <c r="B222" s="2" t="s">
        <v>346</v>
      </c>
      <c r="C222" s="2" t="s">
        <v>295</v>
      </c>
      <c r="D222" s="2" t="s">
        <v>431</v>
      </c>
      <c r="E222" s="6">
        <v>2200</v>
      </c>
      <c r="F222" s="18">
        <f>99+329.9</f>
        <v>428.9</v>
      </c>
      <c r="G222" s="18">
        <f>2397.65+389.09</f>
        <v>2786.7400000000002</v>
      </c>
      <c r="H222" s="18">
        <f>309</f>
        <v>309</v>
      </c>
      <c r="I222" s="18">
        <f>768.29+6120</f>
        <v>6888.29</v>
      </c>
      <c r="J222" s="18">
        <f>617.99</f>
        <v>617.99</v>
      </c>
      <c r="K222" s="18"/>
      <c r="L222" s="19">
        <f t="shared" si="2"/>
        <v>11030.92</v>
      </c>
      <c r="M222" s="8"/>
      <c r="N222" s="264"/>
    </row>
    <row r="223" spans="1:14" s="3" customFormat="1" ht="12.2" customHeight="1" x14ac:dyDescent="0.15">
      <c r="A223" s="1" t="s">
        <v>444</v>
      </c>
      <c r="B223" s="2" t="s">
        <v>346</v>
      </c>
      <c r="C223" s="2" t="s">
        <v>296</v>
      </c>
      <c r="D223" s="2" t="s">
        <v>431</v>
      </c>
      <c r="E223" s="6">
        <v>2300</v>
      </c>
      <c r="F223" s="18">
        <f>36765.47+27393.05</f>
        <v>64158.520000000004</v>
      </c>
      <c r="G223" s="18">
        <f>12218.17+6668.48+539.65</f>
        <v>19426.300000000003</v>
      </c>
      <c r="H223" s="18">
        <f>1902.95+4263.25+1173.88</f>
        <v>7340.08</v>
      </c>
      <c r="I223" s="18">
        <f>5346.15+707</f>
        <v>6053.15</v>
      </c>
      <c r="J223" s="18">
        <f>923.22</f>
        <v>923.22</v>
      </c>
      <c r="K223" s="18">
        <f>5152.74+3150.1+305.55</f>
        <v>8608.39</v>
      </c>
      <c r="L223" s="19">
        <f t="shared" si="2"/>
        <v>106509.66</v>
      </c>
      <c r="M223" s="8"/>
      <c r="N223" s="264"/>
    </row>
    <row r="224" spans="1:14" s="3" customFormat="1" ht="12.2" customHeight="1" x14ac:dyDescent="0.15">
      <c r="A224" s="1" t="s">
        <v>445</v>
      </c>
      <c r="B224" s="2" t="s">
        <v>346</v>
      </c>
      <c r="C224" s="2" t="s">
        <v>297</v>
      </c>
      <c r="D224" s="2" t="s">
        <v>431</v>
      </c>
      <c r="E224" s="6">
        <v>2400</v>
      </c>
      <c r="F224" s="18">
        <f>163056.96</f>
        <v>163056.95999999999</v>
      </c>
      <c r="G224" s="18">
        <f>61008.94+1371.51</f>
        <v>62380.450000000004</v>
      </c>
      <c r="H224" s="18">
        <f>5905.16</f>
        <v>5905.16</v>
      </c>
      <c r="I224" s="18">
        <f>3092.86</f>
        <v>3092.86</v>
      </c>
      <c r="J224" s="18">
        <f>1448.43</f>
        <v>1448.43</v>
      </c>
      <c r="K224" s="18">
        <f>2000</f>
        <v>2000</v>
      </c>
      <c r="L224" s="19">
        <f t="shared" si="2"/>
        <v>237883.86</v>
      </c>
      <c r="M224" s="8"/>
      <c r="N224" s="264"/>
    </row>
    <row r="225" spans="1:14" s="3" customFormat="1" ht="12.2" customHeight="1" x14ac:dyDescent="0.15">
      <c r="A225" s="1" t="s">
        <v>446</v>
      </c>
      <c r="B225" s="2" t="s">
        <v>346</v>
      </c>
      <c r="C225" s="2" t="s">
        <v>298</v>
      </c>
      <c r="D225" s="2" t="s">
        <v>431</v>
      </c>
      <c r="E225" s="6">
        <v>2500</v>
      </c>
      <c r="F225" s="18">
        <f>37687.97</f>
        <v>37687.97</v>
      </c>
      <c r="G225" s="18">
        <f>11289.69+317</f>
        <v>11606.69</v>
      </c>
      <c r="H225" s="18">
        <f>152.8</f>
        <v>152.80000000000001</v>
      </c>
      <c r="I225" s="18">
        <f>32.78</f>
        <v>32.78</v>
      </c>
      <c r="J225" s="18"/>
      <c r="K225" s="18">
        <f>44</f>
        <v>44</v>
      </c>
      <c r="L225" s="19">
        <f t="shared" si="2"/>
        <v>49524.240000000005</v>
      </c>
      <c r="M225" s="8"/>
      <c r="N225" s="264"/>
    </row>
    <row r="226" spans="1:14" s="3" customFormat="1" ht="12.2" customHeight="1" x14ac:dyDescent="0.15">
      <c r="A226" s="1" t="s">
        <v>447</v>
      </c>
      <c r="B226" s="2" t="s">
        <v>346</v>
      </c>
      <c r="C226" s="2" t="s">
        <v>299</v>
      </c>
      <c r="D226" s="2" t="s">
        <v>431</v>
      </c>
      <c r="E226" s="6">
        <v>2600</v>
      </c>
      <c r="F226" s="18">
        <f>47503.94+52304.07</f>
        <v>99808.010000000009</v>
      </c>
      <c r="G226" s="18">
        <f>20443.98+28077.05+839.51</f>
        <v>49360.54</v>
      </c>
      <c r="H226" s="18">
        <f>47694.29+6305.6+18119.02</f>
        <v>72118.91</v>
      </c>
      <c r="I226" s="18">
        <f>19430.88</f>
        <v>19430.88</v>
      </c>
      <c r="J226" s="18">
        <f>6673.02</f>
        <v>6673.02</v>
      </c>
      <c r="K226" s="18">
        <f>9.84</f>
        <v>9.84</v>
      </c>
      <c r="L226" s="19">
        <f t="shared" si="2"/>
        <v>247401.2</v>
      </c>
      <c r="M226" s="8"/>
      <c r="N226" s="264"/>
    </row>
    <row r="227" spans="1:14" s="3" customFormat="1" ht="12.2" customHeight="1" x14ac:dyDescent="0.15">
      <c r="A227" s="1" t="s">
        <v>448</v>
      </c>
      <c r="B227" s="2" t="s">
        <v>346</v>
      </c>
      <c r="C227" s="2" t="s">
        <v>300</v>
      </c>
      <c r="D227" s="2" t="s">
        <v>431</v>
      </c>
      <c r="E227" s="6">
        <v>2700</v>
      </c>
      <c r="F227" s="18">
        <f>31123.68+1554.69+86.23+281.15</f>
        <v>33045.75</v>
      </c>
      <c r="G227" s="18">
        <f>7386.75+118.82+6.57+280.1+21.48</f>
        <v>7813.7199999999993</v>
      </c>
      <c r="H227" s="18">
        <f>12008.34</f>
        <v>12008.34</v>
      </c>
      <c r="I227" s="18">
        <f>6356.37</f>
        <v>6356.37</v>
      </c>
      <c r="J227" s="18">
        <f>2692.46</f>
        <v>2692.46</v>
      </c>
      <c r="K227" s="18">
        <f>65.52</f>
        <v>65.52</v>
      </c>
      <c r="L227" s="19">
        <f t="shared" si="2"/>
        <v>61982.159999999996</v>
      </c>
      <c r="M227" s="8"/>
      <c r="N227" s="264"/>
    </row>
    <row r="228" spans="1:14" s="3" customFormat="1" ht="12.2" customHeight="1" x14ac:dyDescent="0.15">
      <c r="A228" s="1" t="s">
        <v>449</v>
      </c>
      <c r="B228" s="2" t="s">
        <v>346</v>
      </c>
      <c r="C228" s="2" t="s">
        <v>343</v>
      </c>
      <c r="D228" s="2" t="s">
        <v>431</v>
      </c>
      <c r="E228" s="6">
        <v>2800</v>
      </c>
      <c r="F228" s="18">
        <f>819.02</f>
        <v>819.02</v>
      </c>
      <c r="G228" s="18">
        <f>62.65+6.89</f>
        <v>69.539999999999992</v>
      </c>
      <c r="H228" s="18"/>
      <c r="I228" s="18"/>
      <c r="J228" s="18"/>
      <c r="K228" s="18"/>
      <c r="L228" s="19">
        <f>SUM(F228:K228)</f>
        <v>888.56</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2171241.04</v>
      </c>
      <c r="G230" s="41">
        <f>SUM(G216:G229)</f>
        <v>1004617.31</v>
      </c>
      <c r="H230" s="41">
        <f>SUM(H216:H229)</f>
        <v>568488.26</v>
      </c>
      <c r="I230" s="41">
        <f>SUM(I216:I229)</f>
        <v>109107.34999999999</v>
      </c>
      <c r="J230" s="41">
        <f>SUM(J216:J229)</f>
        <v>43954.280000000006</v>
      </c>
      <c r="K230" s="41">
        <f t="shared" si="3"/>
        <v>19309.11</v>
      </c>
      <c r="L230" s="41">
        <f t="shared" si="3"/>
        <v>3916717.3500000006</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62406.76+1756025.43</f>
        <v>1818432.19</v>
      </c>
      <c r="G234" s="18">
        <f>31995.49+766621.89+15295.23</f>
        <v>813912.61</v>
      </c>
      <c r="H234" s="18">
        <f>18551.09+250</f>
        <v>18801.09</v>
      </c>
      <c r="I234" s="18">
        <f>10623.77+73228.17</f>
        <v>83851.94</v>
      </c>
      <c r="J234" s="18">
        <f>30616.61+41833.31+6010</f>
        <v>78459.92</v>
      </c>
      <c r="K234" s="18">
        <f>230</f>
        <v>230</v>
      </c>
      <c r="L234" s="19">
        <f>SUM(F234:K234)</f>
        <v>2813687.7499999995</v>
      </c>
      <c r="M234" s="8"/>
      <c r="N234" s="264"/>
    </row>
    <row r="235" spans="1:14" s="3" customFormat="1" ht="12.2" customHeight="1" x14ac:dyDescent="0.15">
      <c r="A235" s="1" t="s">
        <v>439</v>
      </c>
      <c r="B235" s="2" t="s">
        <v>350</v>
      </c>
      <c r="C235" s="2" t="s">
        <v>291</v>
      </c>
      <c r="D235" s="2" t="s">
        <v>431</v>
      </c>
      <c r="E235" s="6">
        <v>1200</v>
      </c>
      <c r="F235" s="18">
        <f>368.68+877.97+289227.21</f>
        <v>290473.86000000004</v>
      </c>
      <c r="G235" s="18">
        <f>67.16+49.41+99525.89+2443.24</f>
        <v>102085.70000000001</v>
      </c>
      <c r="H235" s="18">
        <f>22172.86+320688.97+42459.4</f>
        <v>385321.23</v>
      </c>
      <c r="I235" s="18">
        <f>24.01+1353.88</f>
        <v>1377.89</v>
      </c>
      <c r="J235" s="18"/>
      <c r="K235" s="18"/>
      <c r="L235" s="19">
        <f>SUM(F235:K235)</f>
        <v>779258.68</v>
      </c>
      <c r="M235" s="8"/>
      <c r="N235" s="264"/>
    </row>
    <row r="236" spans="1:14" s="3" customFormat="1" ht="12.2" customHeight="1" x14ac:dyDescent="0.15">
      <c r="A236" s="1" t="s">
        <v>440</v>
      </c>
      <c r="B236" s="2" t="s">
        <v>350</v>
      </c>
      <c r="C236" s="2" t="s">
        <v>292</v>
      </c>
      <c r="D236" s="2" t="s">
        <v>431</v>
      </c>
      <c r="E236" s="6">
        <v>1300</v>
      </c>
      <c r="F236" s="18">
        <f>491673.94</f>
        <v>491673.94</v>
      </c>
      <c r="G236" s="18">
        <f>232610.05+4135.58</f>
        <v>236745.62999999998</v>
      </c>
      <c r="H236" s="18">
        <f>1731.87</f>
        <v>1731.87</v>
      </c>
      <c r="I236" s="18">
        <f>40967.49</f>
        <v>40967.49</v>
      </c>
      <c r="J236" s="18">
        <f>7147.55</f>
        <v>7147.55</v>
      </c>
      <c r="K236" s="18"/>
      <c r="L236" s="19">
        <f>SUM(F236:K236)</f>
        <v>778266.48</v>
      </c>
      <c r="M236" s="8"/>
      <c r="N236" s="264"/>
    </row>
    <row r="237" spans="1:14" s="3" customFormat="1" ht="12.2" customHeight="1" x14ac:dyDescent="0.15">
      <c r="A237" s="1" t="s">
        <v>441</v>
      </c>
      <c r="B237" s="2" t="s">
        <v>350</v>
      </c>
      <c r="C237" s="2" t="s">
        <v>293</v>
      </c>
      <c r="D237" s="2" t="s">
        <v>431</v>
      </c>
      <c r="E237" s="6">
        <v>1400</v>
      </c>
      <c r="F237" s="18">
        <f>20248+100912.66</f>
        <v>121160.66</v>
      </c>
      <c r="G237" s="18">
        <f>4680.2+19644.99+1019.11</f>
        <v>25344.300000000003</v>
      </c>
      <c r="H237" s="18">
        <f>41456.6</f>
        <v>41456.6</v>
      </c>
      <c r="I237" s="18">
        <f>220.75+22887.77</f>
        <v>23108.52</v>
      </c>
      <c r="J237" s="18">
        <f>8088.6</f>
        <v>8088.6</v>
      </c>
      <c r="K237" s="18">
        <f>385+6620</f>
        <v>7005</v>
      </c>
      <c r="L237" s="19">
        <f>SUM(F237:K237)</f>
        <v>226163.68000000002</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28704.37+22095.46+187087.69+47548.55</f>
        <v>285436.07</v>
      </c>
      <c r="G239" s="18">
        <f>14321.76+8820.89+74143.48+34530.26+2400.87</f>
        <v>134217.26</v>
      </c>
      <c r="H239" s="18">
        <f>5032+1647.45+33.53+2457.32+4146.42+1140</f>
        <v>14456.72</v>
      </c>
      <c r="I239" s="18">
        <f>690.25+211.34+5850.48+1570.26</f>
        <v>8322.33</v>
      </c>
      <c r="J239" s="18">
        <f>237.26+836.94</f>
        <v>1074.2</v>
      </c>
      <c r="K239" s="18">
        <f>179</f>
        <v>179</v>
      </c>
      <c r="L239" s="19">
        <f t="shared" ref="L239:L245" si="4">SUM(F239:K239)</f>
        <v>443685.58</v>
      </c>
      <c r="M239" s="8"/>
      <c r="N239" s="264"/>
    </row>
    <row r="240" spans="1:14" s="3" customFormat="1" ht="12.2" customHeight="1" x14ac:dyDescent="0.15">
      <c r="A240" s="1" t="s">
        <v>443</v>
      </c>
      <c r="B240" s="2" t="s">
        <v>350</v>
      </c>
      <c r="C240" s="2" t="s">
        <v>295</v>
      </c>
      <c r="D240" s="2" t="s">
        <v>431</v>
      </c>
      <c r="E240" s="6">
        <v>2200</v>
      </c>
      <c r="F240" s="18">
        <f>153+54601</f>
        <v>54754</v>
      </c>
      <c r="G240" s="18">
        <f>19590.91+22693.6+460.55</f>
        <v>42745.06</v>
      </c>
      <c r="H240" s="18">
        <f>1715+2431.9</f>
        <v>4146.8999999999996</v>
      </c>
      <c r="I240" s="18">
        <f>1476.25+5445.92</f>
        <v>6922.17</v>
      </c>
      <c r="J240" s="18"/>
      <c r="K240" s="18"/>
      <c r="L240" s="19">
        <f t="shared" si="4"/>
        <v>108568.12999999999</v>
      </c>
      <c r="M240" s="8"/>
      <c r="N240" s="264"/>
    </row>
    <row r="241" spans="1:14" s="3" customFormat="1" ht="12.2" customHeight="1" x14ac:dyDescent="0.15">
      <c r="A241" s="1" t="s">
        <v>444</v>
      </c>
      <c r="B241" s="2" t="s">
        <v>350</v>
      </c>
      <c r="C241" s="2" t="s">
        <v>296</v>
      </c>
      <c r="D241" s="2" t="s">
        <v>431</v>
      </c>
      <c r="E241" s="6">
        <v>2300</v>
      </c>
      <c r="F241" s="18">
        <f>56819.36+39132.92+64417.23</f>
        <v>160369.51</v>
      </c>
      <c r="G241" s="18">
        <f>18882.63+9526.4+22240.64+1348.9</f>
        <v>51998.57</v>
      </c>
      <c r="H241" s="18">
        <f>2940.92+6588.66+1676.97+1516.65</f>
        <v>12723.199999999999</v>
      </c>
      <c r="I241" s="18">
        <f>8262.24+235.67</f>
        <v>8497.91</v>
      </c>
      <c r="J241" s="18">
        <f>1426.8</f>
        <v>1426.8</v>
      </c>
      <c r="K241" s="18">
        <f>7963.33+2250+4868.34+436.5</f>
        <v>15518.17</v>
      </c>
      <c r="L241" s="19">
        <f t="shared" si="4"/>
        <v>250534.16000000003</v>
      </c>
      <c r="M241" s="8"/>
      <c r="N241" s="264"/>
    </row>
    <row r="242" spans="1:14" s="3" customFormat="1" ht="12.2" customHeight="1" x14ac:dyDescent="0.15">
      <c r="A242" s="1" t="s">
        <v>445</v>
      </c>
      <c r="B242" s="2" t="s">
        <v>350</v>
      </c>
      <c r="C242" s="2" t="s">
        <v>297</v>
      </c>
      <c r="D242" s="2" t="s">
        <v>431</v>
      </c>
      <c r="E242" s="6">
        <v>2400</v>
      </c>
      <c r="F242" s="18">
        <f>158165.52</f>
        <v>158165.51999999999</v>
      </c>
      <c r="G242" s="18">
        <f>46219.63+1330.36</f>
        <v>47549.99</v>
      </c>
      <c r="H242" s="18">
        <f>14848.02</f>
        <v>14848.02</v>
      </c>
      <c r="I242" s="18">
        <f>9704.37</f>
        <v>9704.3700000000008</v>
      </c>
      <c r="J242" s="18">
        <f>639.52</f>
        <v>639.52</v>
      </c>
      <c r="K242" s="18">
        <f>4671</f>
        <v>4671</v>
      </c>
      <c r="L242" s="19">
        <f t="shared" si="4"/>
        <v>235578.41999999995</v>
      </c>
      <c r="M242" s="8"/>
      <c r="N242" s="264"/>
    </row>
    <row r="243" spans="1:14" s="3" customFormat="1" ht="12.2" customHeight="1" x14ac:dyDescent="0.15">
      <c r="A243" s="1" t="s">
        <v>446</v>
      </c>
      <c r="B243" s="2" t="s">
        <v>350</v>
      </c>
      <c r="C243" s="2" t="s">
        <v>298</v>
      </c>
      <c r="D243" s="2" t="s">
        <v>431</v>
      </c>
      <c r="E243" s="6">
        <v>2500</v>
      </c>
      <c r="F243" s="18">
        <f>58245.04</f>
        <v>58245.04</v>
      </c>
      <c r="G243" s="18">
        <f>17447.7+489.91</f>
        <v>17937.61</v>
      </c>
      <c r="H243" s="18">
        <f>236.15</f>
        <v>236.15</v>
      </c>
      <c r="I243" s="18">
        <f>50.66</f>
        <v>50.66</v>
      </c>
      <c r="J243" s="18"/>
      <c r="K243" s="18">
        <f>68</f>
        <v>68</v>
      </c>
      <c r="L243" s="19">
        <f t="shared" si="4"/>
        <v>76537.459999999992</v>
      </c>
      <c r="M243" s="8"/>
      <c r="N243" s="264"/>
    </row>
    <row r="244" spans="1:14" s="3" customFormat="1" ht="12.2" customHeight="1" x14ac:dyDescent="0.15">
      <c r="A244" s="1" t="s">
        <v>447</v>
      </c>
      <c r="B244" s="2" t="s">
        <v>350</v>
      </c>
      <c r="C244" s="2" t="s">
        <v>299</v>
      </c>
      <c r="D244" s="2" t="s">
        <v>431</v>
      </c>
      <c r="E244" s="6">
        <v>2600</v>
      </c>
      <c r="F244" s="18">
        <f>73415.18+83061.35</f>
        <v>156476.53</v>
      </c>
      <c r="G244" s="18">
        <f>31595.24+42429.11+1316.16</f>
        <v>75340.510000000009</v>
      </c>
      <c r="H244" s="18">
        <f>73709.35+117097.52</f>
        <v>190806.87</v>
      </c>
      <c r="I244" s="18">
        <f>30029.53+182255.68</f>
        <v>212285.21</v>
      </c>
      <c r="J244" s="18">
        <f>10312.85</f>
        <v>10312.85</v>
      </c>
      <c r="K244" s="18">
        <f>2.37</f>
        <v>2.37</v>
      </c>
      <c r="L244" s="19">
        <f t="shared" si="4"/>
        <v>645224.34</v>
      </c>
      <c r="M244" s="8"/>
      <c r="N244" s="264"/>
    </row>
    <row r="245" spans="1:14" s="3" customFormat="1" ht="12.2" customHeight="1" x14ac:dyDescent="0.15">
      <c r="A245" s="1" t="s">
        <v>448</v>
      </c>
      <c r="B245" s="2" t="s">
        <v>350</v>
      </c>
      <c r="C245" s="2" t="s">
        <v>300</v>
      </c>
      <c r="D245" s="2" t="s">
        <v>431</v>
      </c>
      <c r="E245" s="6">
        <v>2700</v>
      </c>
      <c r="F245" s="18">
        <f>20749.12+6763.25+17.81</f>
        <v>27530.18</v>
      </c>
      <c r="G245" s="18">
        <f>4924.5+517.12+1.36+233.07</f>
        <v>5676.0499999999993</v>
      </c>
      <c r="H245" s="18">
        <f>8005.56</f>
        <v>8005.56</v>
      </c>
      <c r="I245" s="18">
        <f>4237.58</f>
        <v>4237.58</v>
      </c>
      <c r="J245" s="18">
        <f>1794.98</f>
        <v>1794.98</v>
      </c>
      <c r="K245" s="18">
        <f>43.68</f>
        <v>43.68</v>
      </c>
      <c r="L245" s="19">
        <f t="shared" si="4"/>
        <v>47288.03</v>
      </c>
      <c r="M245" s="8"/>
      <c r="N245" s="264"/>
    </row>
    <row r="246" spans="1:14" s="3" customFormat="1" ht="12.2" customHeight="1" x14ac:dyDescent="0.15">
      <c r="A246" s="1" t="s">
        <v>449</v>
      </c>
      <c r="B246" s="2" t="s">
        <v>350</v>
      </c>
      <c r="C246" s="2" t="s">
        <v>343</v>
      </c>
      <c r="D246" s="2" t="s">
        <v>431</v>
      </c>
      <c r="E246" s="6">
        <v>2800</v>
      </c>
      <c r="F246" s="18">
        <f>1265.76</f>
        <v>1265.76</v>
      </c>
      <c r="G246" s="18">
        <f>96.83+10.65</f>
        <v>107.48</v>
      </c>
      <c r="H246" s="18"/>
      <c r="I246" s="18"/>
      <c r="J246" s="18"/>
      <c r="K246" s="18"/>
      <c r="L246" s="19">
        <f>SUM(F246:K246)</f>
        <v>1373.24</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3623983.2599999993</v>
      </c>
      <c r="G248" s="41">
        <f t="shared" si="5"/>
        <v>1553660.7700000003</v>
      </c>
      <c r="H248" s="41">
        <f t="shared" si="5"/>
        <v>692534.21000000008</v>
      </c>
      <c r="I248" s="41">
        <f t="shared" si="5"/>
        <v>399326.07</v>
      </c>
      <c r="J248" s="41">
        <f t="shared" si="5"/>
        <v>108944.42000000001</v>
      </c>
      <c r="K248" s="41">
        <f t="shared" si="5"/>
        <v>27717.219999999998</v>
      </c>
      <c r="L248" s="41">
        <f t="shared" si="5"/>
        <v>6406165.9500000002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9816602.8699999992</v>
      </c>
      <c r="G258" s="41">
        <f t="shared" si="8"/>
        <v>4251848.9000000004</v>
      </c>
      <c r="H258" s="41">
        <f t="shared" si="8"/>
        <v>2084352.2000000002</v>
      </c>
      <c r="I258" s="41">
        <f t="shared" si="8"/>
        <v>808568.29</v>
      </c>
      <c r="J258" s="41">
        <f t="shared" si="8"/>
        <v>245543.49000000002</v>
      </c>
      <c r="K258" s="41">
        <f t="shared" si="8"/>
        <v>67423.78</v>
      </c>
      <c r="L258" s="41">
        <f t="shared" si="8"/>
        <v>17274339.530000001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22244</v>
      </c>
      <c r="L261" s="19">
        <f>SUM(F261:K261)</f>
        <v>22244</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6878.29</v>
      </c>
      <c r="L262" s="19">
        <f>SUM(F262:K262)</f>
        <v>6878.29</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29122.29</v>
      </c>
      <c r="L271" s="41">
        <f t="shared" si="9"/>
        <v>29122.29</v>
      </c>
      <c r="M271" s="8"/>
      <c r="N271" s="264"/>
    </row>
    <row r="272" spans="1:14" s="34" customFormat="1" ht="12.2" customHeight="1" thickTop="1" x14ac:dyDescent="0.2">
      <c r="A272" s="43" t="s">
        <v>464</v>
      </c>
      <c r="B272" s="40">
        <v>10</v>
      </c>
      <c r="C272" s="40">
        <v>18</v>
      </c>
      <c r="D272" s="39" t="s">
        <v>431</v>
      </c>
      <c r="E272" s="40"/>
      <c r="F272" s="42">
        <f t="shared" ref="F272:L272" si="11">F258+F271</f>
        <v>9816602.8699999992</v>
      </c>
      <c r="G272" s="42">
        <f t="shared" si="11"/>
        <v>4251848.9000000004</v>
      </c>
      <c r="H272" s="42">
        <f t="shared" si="11"/>
        <v>2084352.2000000002</v>
      </c>
      <c r="I272" s="42">
        <f t="shared" si="11"/>
        <v>808568.29</v>
      </c>
      <c r="J272" s="42">
        <f t="shared" si="11"/>
        <v>245543.49000000002</v>
      </c>
      <c r="K272" s="42">
        <f t="shared" si="11"/>
        <v>96546.07</v>
      </c>
      <c r="L272" s="42">
        <f t="shared" si="11"/>
        <v>17303461.82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202346.1+80674</f>
        <v>283020.09999999998</v>
      </c>
      <c r="G277" s="18">
        <f>46763.84+39004.49-2.99</f>
        <v>85765.339999999982</v>
      </c>
      <c r="H277" s="18">
        <f>17386.41+42045.91+1588.55+6784.8</f>
        <v>67805.670000000013</v>
      </c>
      <c r="I277" s="18">
        <f>48819.09+8170.39+9792.76</f>
        <v>66782.239999999991</v>
      </c>
      <c r="J277" s="18">
        <f>10638.47+8562.18</f>
        <v>19200.650000000001</v>
      </c>
      <c r="K277" s="18"/>
      <c r="L277" s="19">
        <f>SUM(F277:K277)</f>
        <v>522574</v>
      </c>
      <c r="M277" s="8"/>
      <c r="N277" s="264"/>
    </row>
    <row r="278" spans="1:14" s="3" customFormat="1" ht="12.2" customHeight="1" x14ac:dyDescent="0.15">
      <c r="A278" s="1" t="s">
        <v>439</v>
      </c>
      <c r="B278" s="2" t="s">
        <v>357</v>
      </c>
      <c r="C278" s="2" t="s">
        <v>291</v>
      </c>
      <c r="D278" s="2" t="s">
        <v>431</v>
      </c>
      <c r="E278" s="6">
        <v>1200</v>
      </c>
      <c r="F278" s="18">
        <f>117223.3+518293.24+1848.37</f>
        <v>637364.91</v>
      </c>
      <c r="G278" s="18">
        <f>29586.54+155587.39+141.4</f>
        <v>185315.33000000002</v>
      </c>
      <c r="H278" s="18">
        <f>1606.71+4877.99+927.99</f>
        <v>7412.69</v>
      </c>
      <c r="I278" s="18">
        <f>968.76+5136.63+86333.62</f>
        <v>92439.01</v>
      </c>
      <c r="J278" s="18">
        <f>6017.17+5412.17</f>
        <v>11429.34</v>
      </c>
      <c r="K278" s="18">
        <f>98.82</f>
        <v>98.82</v>
      </c>
      <c r="L278" s="19">
        <f>SUM(F278:K278)</f>
        <v>934060.09999999986</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f>154124.64</f>
        <v>154124.64000000001</v>
      </c>
      <c r="G280" s="18">
        <f>13550.31</f>
        <v>13550.31</v>
      </c>
      <c r="H280" s="18">
        <f>35595.8+1188</f>
        <v>36783.800000000003</v>
      </c>
      <c r="I280" s="18">
        <f>18897.99</f>
        <v>18897.990000000002</v>
      </c>
      <c r="J280" s="18">
        <f>2100.36</f>
        <v>2100.36</v>
      </c>
      <c r="K280" s="18"/>
      <c r="L280" s="19">
        <f>SUM(F280:K280)</f>
        <v>225457.09999999998</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690.31+1601.92+7102.56+2956.59</f>
        <v>12351.380000000001</v>
      </c>
      <c r="G282" s="18">
        <f>52.81+301.48+1754.1+226.18+330.25</f>
        <v>2664.8199999999997</v>
      </c>
      <c r="H282" s="18">
        <f>2246.33+41946.66</f>
        <v>44192.990000000005</v>
      </c>
      <c r="I282" s="18">
        <f>72.53</f>
        <v>72.53</v>
      </c>
      <c r="J282" s="18"/>
      <c r="K282" s="18"/>
      <c r="L282" s="19">
        <f t="shared" ref="L282:L288" si="12">SUM(F282:K282)</f>
        <v>59281.72</v>
      </c>
      <c r="M282" s="8"/>
      <c r="N282" s="264"/>
    </row>
    <row r="283" spans="1:14" s="3" customFormat="1" ht="12.2" customHeight="1" x14ac:dyDescent="0.15">
      <c r="A283" s="1" t="s">
        <v>443</v>
      </c>
      <c r="B283" s="2" t="s">
        <v>357</v>
      </c>
      <c r="C283" s="2" t="s">
        <v>295</v>
      </c>
      <c r="D283" s="2" t="s">
        <v>431</v>
      </c>
      <c r="E283" s="6">
        <v>2200</v>
      </c>
      <c r="F283" s="18">
        <f>23353</f>
        <v>23353</v>
      </c>
      <c r="G283" s="18"/>
      <c r="H283" s="18">
        <f>1159.4</f>
        <v>1159.4000000000001</v>
      </c>
      <c r="I283" s="18"/>
      <c r="J283" s="18"/>
      <c r="K283" s="18"/>
      <c r="L283" s="19">
        <f t="shared" si="12"/>
        <v>24512.400000000001</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f>66836.77+14576.55+5115</f>
        <v>86528.320000000007</v>
      </c>
      <c r="I287" s="18">
        <f>7910.29+27529.95</f>
        <v>35440.239999999998</v>
      </c>
      <c r="J287" s="18">
        <f>8645.7</f>
        <v>8645.7000000000007</v>
      </c>
      <c r="K287" s="18"/>
      <c r="L287" s="19">
        <f t="shared" si="12"/>
        <v>130614.26</v>
      </c>
      <c r="M287" s="8"/>
      <c r="N287" s="264"/>
    </row>
    <row r="288" spans="1:14" s="3" customFormat="1" ht="12.2" customHeight="1" x14ac:dyDescent="0.15">
      <c r="A288" s="1" t="s">
        <v>448</v>
      </c>
      <c r="B288" s="2" t="s">
        <v>357</v>
      </c>
      <c r="C288" s="2" t="s">
        <v>300</v>
      </c>
      <c r="D288" s="2" t="s">
        <v>431</v>
      </c>
      <c r="E288" s="6">
        <v>2700</v>
      </c>
      <c r="F288" s="18"/>
      <c r="G288" s="18"/>
      <c r="H288" s="18">
        <f>3522.62</f>
        <v>3522.62</v>
      </c>
      <c r="I288" s="18"/>
      <c r="J288" s="18"/>
      <c r="K288" s="18"/>
      <c r="L288" s="19">
        <f t="shared" si="12"/>
        <v>3522.62</v>
      </c>
      <c r="M288" s="8"/>
      <c r="N288" s="264"/>
    </row>
    <row r="289" spans="1:14" s="3" customFormat="1" ht="12.2" customHeight="1" x14ac:dyDescent="0.15">
      <c r="A289" s="1" t="s">
        <v>449</v>
      </c>
      <c r="B289" s="2" t="s">
        <v>357</v>
      </c>
      <c r="C289" s="2" t="s">
        <v>343</v>
      </c>
      <c r="D289" s="2" t="s">
        <v>431</v>
      </c>
      <c r="E289" s="6">
        <v>2800</v>
      </c>
      <c r="F289" s="18"/>
      <c r="G289" s="18"/>
      <c r="H289" s="18">
        <f>146.85+13340.8</f>
        <v>13487.65</v>
      </c>
      <c r="I289" s="18"/>
      <c r="J289" s="18"/>
      <c r="K289" s="18"/>
      <c r="L289" s="19">
        <f>SUM(F289:K289)</f>
        <v>13487.65</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1110214.0299999998</v>
      </c>
      <c r="G291" s="42">
        <f t="shared" si="13"/>
        <v>287295.8</v>
      </c>
      <c r="H291" s="42">
        <f t="shared" si="13"/>
        <v>260893.14</v>
      </c>
      <c r="I291" s="42">
        <f t="shared" si="13"/>
        <v>213632.00999999998</v>
      </c>
      <c r="J291" s="42">
        <f t="shared" si="13"/>
        <v>41376.050000000003</v>
      </c>
      <c r="K291" s="42">
        <f t="shared" si="13"/>
        <v>98.82</v>
      </c>
      <c r="L291" s="41">
        <f t="shared" si="13"/>
        <v>1913509.8499999996</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f>101173.05+750</f>
        <v>101923.05</v>
      </c>
      <c r="G296" s="18">
        <f>23381.92+190.89</f>
        <v>23572.809999999998</v>
      </c>
      <c r="H296" s="18">
        <f>8693.21+21022.96+794.27+3392.4</f>
        <v>33902.839999999997</v>
      </c>
      <c r="I296" s="18">
        <f>24409.55+409.85+2626.19+4896.37</f>
        <v>32341.959999999995</v>
      </c>
      <c r="J296" s="18">
        <f>5319.24+2000</f>
        <v>7319.24</v>
      </c>
      <c r="K296" s="18"/>
      <c r="L296" s="19">
        <f>SUM(F296:K296)</f>
        <v>199059.9</v>
      </c>
      <c r="M296" s="8"/>
      <c r="N296" s="264"/>
    </row>
    <row r="297" spans="1:14" s="3" customFormat="1" ht="12.2" customHeight="1" x14ac:dyDescent="0.15">
      <c r="A297" s="1" t="s">
        <v>439</v>
      </c>
      <c r="B297" s="2" t="s">
        <v>358</v>
      </c>
      <c r="C297" s="2" t="s">
        <v>291</v>
      </c>
      <c r="D297" s="2" t="s">
        <v>431</v>
      </c>
      <c r="E297" s="6">
        <v>1200</v>
      </c>
      <c r="F297" s="18">
        <f>50238.56</f>
        <v>50238.559999999998</v>
      </c>
      <c r="G297" s="18">
        <f>12679.95</f>
        <v>12679.95</v>
      </c>
      <c r="H297" s="18">
        <f>688.59</f>
        <v>688.59</v>
      </c>
      <c r="I297" s="18">
        <f>2201.41</f>
        <v>2201.41</v>
      </c>
      <c r="J297" s="18">
        <f>2578.79</f>
        <v>2578.79</v>
      </c>
      <c r="K297" s="18"/>
      <c r="L297" s="19">
        <f>SUM(F297:K297)</f>
        <v>68387.299999999988</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f>19049.11</f>
        <v>19049.11</v>
      </c>
      <c r="G299" s="18">
        <f>1674.76</f>
        <v>1674.76</v>
      </c>
      <c r="H299" s="18">
        <f>4399.48+594</f>
        <v>4993.4799999999996</v>
      </c>
      <c r="I299" s="18">
        <f>2335.71</f>
        <v>2335.71</v>
      </c>
      <c r="J299" s="18">
        <f>259.6</f>
        <v>259.60000000000002</v>
      </c>
      <c r="K299" s="18"/>
      <c r="L299" s="19">
        <f>SUM(F299:K299)</f>
        <v>28312.659999999996</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f>345.15+725.87+12624</f>
        <v>13695.02</v>
      </c>
      <c r="G301" s="18">
        <f>26.4+136.61+2322.03</f>
        <v>2485.0400000000004</v>
      </c>
      <c r="H301" s="18">
        <f>1123.17+20973.33</f>
        <v>22096.5</v>
      </c>
      <c r="I301" s="18">
        <f>36.26</f>
        <v>36.26</v>
      </c>
      <c r="J301" s="18"/>
      <c r="K301" s="18"/>
      <c r="L301" s="19">
        <f t="shared" ref="L301:L307" si="14">SUM(F301:K301)</f>
        <v>38312.82</v>
      </c>
      <c r="M301" s="8"/>
      <c r="N301" s="264"/>
    </row>
    <row r="302" spans="1:14" s="3" customFormat="1" ht="12.2" customHeight="1" x14ac:dyDescent="0.15">
      <c r="A302" s="1" t="s">
        <v>443</v>
      </c>
      <c r="B302" s="2" t="s">
        <v>358</v>
      </c>
      <c r="C302" s="2" t="s">
        <v>295</v>
      </c>
      <c r="D302" s="2" t="s">
        <v>431</v>
      </c>
      <c r="E302" s="6">
        <v>2200</v>
      </c>
      <c r="F302" s="18"/>
      <c r="G302" s="18"/>
      <c r="H302" s="18">
        <f>11676.5+579.7</f>
        <v>12256.2</v>
      </c>
      <c r="I302" s="18"/>
      <c r="J302" s="18"/>
      <c r="K302" s="18"/>
      <c r="L302" s="19">
        <f t="shared" si="14"/>
        <v>12256.2</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f>33418.38+7288.27</f>
        <v>40706.649999999994</v>
      </c>
      <c r="I306" s="18">
        <f>3955.14+13764.97</f>
        <v>17720.11</v>
      </c>
      <c r="J306" s="18">
        <f>4322.85</f>
        <v>4322.8500000000004</v>
      </c>
      <c r="K306" s="18"/>
      <c r="L306" s="19">
        <f t="shared" si="14"/>
        <v>62749.609999999993</v>
      </c>
      <c r="M306" s="8"/>
      <c r="N306" s="264"/>
    </row>
    <row r="307" spans="1:14" s="3" customFormat="1" ht="12.2" customHeight="1" x14ac:dyDescent="0.15">
      <c r="A307" s="1" t="s">
        <v>448</v>
      </c>
      <c r="B307" s="2" t="s">
        <v>358</v>
      </c>
      <c r="C307" s="2" t="s">
        <v>300</v>
      </c>
      <c r="D307" s="2" t="s">
        <v>431</v>
      </c>
      <c r="E307" s="6">
        <v>2700</v>
      </c>
      <c r="F307" s="18"/>
      <c r="G307" s="18"/>
      <c r="H307" s="18">
        <f>435.38</f>
        <v>435.38</v>
      </c>
      <c r="I307" s="18"/>
      <c r="J307" s="18"/>
      <c r="K307" s="18"/>
      <c r="L307" s="19">
        <f t="shared" si="14"/>
        <v>435.38</v>
      </c>
      <c r="M307" s="8"/>
      <c r="N307" s="264"/>
    </row>
    <row r="308" spans="1:14" s="3" customFormat="1" ht="12.2" customHeight="1" x14ac:dyDescent="0.15">
      <c r="A308" s="1" t="s">
        <v>449</v>
      </c>
      <c r="B308" s="2" t="s">
        <v>358</v>
      </c>
      <c r="C308" s="2" t="s">
        <v>343</v>
      </c>
      <c r="D308" s="2" t="s">
        <v>431</v>
      </c>
      <c r="E308" s="6">
        <v>2800</v>
      </c>
      <c r="F308" s="18"/>
      <c r="G308" s="18"/>
      <c r="H308" s="18">
        <f>18.15+4875.2+1795.2</f>
        <v>6688.5499999999993</v>
      </c>
      <c r="I308" s="18"/>
      <c r="J308" s="18"/>
      <c r="K308" s="18"/>
      <c r="L308" s="19">
        <f>SUM(F308:K308)</f>
        <v>6688.5499999999993</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184905.73999999996</v>
      </c>
      <c r="G310" s="42">
        <f t="shared" si="15"/>
        <v>40412.559999999998</v>
      </c>
      <c r="H310" s="42">
        <f t="shared" si="15"/>
        <v>121768.18999999999</v>
      </c>
      <c r="I310" s="42">
        <f t="shared" si="15"/>
        <v>54635.45</v>
      </c>
      <c r="J310" s="42">
        <f t="shared" si="15"/>
        <v>14480.48</v>
      </c>
      <c r="K310" s="42">
        <f t="shared" si="15"/>
        <v>0</v>
      </c>
      <c r="L310" s="41">
        <f t="shared" si="15"/>
        <v>416202.41999999993</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f>156358.35+1750</f>
        <v>158108.35</v>
      </c>
      <c r="G315" s="18">
        <f>36135.69+445.4</f>
        <v>36581.090000000004</v>
      </c>
      <c r="H315" s="18">
        <f>13434.96+32490.03+1227.52+5242.8+12250+10000</f>
        <v>74645.31</v>
      </c>
      <c r="I315" s="18">
        <f>37723.85+2000+3793.39+7567.12</f>
        <v>51084.36</v>
      </c>
      <c r="J315" s="18">
        <f>8220.64+2607.46</f>
        <v>10828.099999999999</v>
      </c>
      <c r="K315" s="18"/>
      <c r="L315" s="19">
        <f>SUM(F315:K315)</f>
        <v>331247.20999999996</v>
      </c>
      <c r="M315" s="8"/>
      <c r="N315" s="264"/>
    </row>
    <row r="316" spans="1:14" s="3" customFormat="1" ht="12.2" customHeight="1" x14ac:dyDescent="0.15">
      <c r="A316" s="1" t="s">
        <v>439</v>
      </c>
      <c r="B316" s="2" t="s">
        <v>359</v>
      </c>
      <c r="C316" s="2" t="s">
        <v>291</v>
      </c>
      <c r="D316" s="2" t="s">
        <v>431</v>
      </c>
      <c r="E316" s="6">
        <v>1200</v>
      </c>
      <c r="F316" s="18">
        <f>71769.37</f>
        <v>71769.37</v>
      </c>
      <c r="G316" s="18">
        <f>18114.21</f>
        <v>18114.21</v>
      </c>
      <c r="H316" s="18">
        <f>983.7</f>
        <v>983.7</v>
      </c>
      <c r="I316" s="18">
        <f>3144.87</f>
        <v>3144.87</v>
      </c>
      <c r="J316" s="18">
        <f>3683.98</f>
        <v>3683.98</v>
      </c>
      <c r="K316" s="18"/>
      <c r="L316" s="19">
        <f>SUM(F316:K316)</f>
        <v>97696.129999999976</v>
      </c>
      <c r="M316" s="8"/>
      <c r="N316" s="264"/>
    </row>
    <row r="317" spans="1:14" s="3" customFormat="1" ht="12.2" customHeight="1" x14ac:dyDescent="0.15">
      <c r="A317" s="1" t="s">
        <v>440</v>
      </c>
      <c r="B317" s="2" t="s">
        <v>359</v>
      </c>
      <c r="C317" s="2" t="s">
        <v>292</v>
      </c>
      <c r="D317" s="2" t="s">
        <v>431</v>
      </c>
      <c r="E317" s="6">
        <v>1300</v>
      </c>
      <c r="F317" s="18">
        <f>700</f>
        <v>700</v>
      </c>
      <c r="G317" s="18">
        <f>178.15</f>
        <v>178.15</v>
      </c>
      <c r="H317" s="18">
        <f>876</f>
        <v>876</v>
      </c>
      <c r="I317" s="18">
        <f>13286.47+3426.36</f>
        <v>16712.829999999998</v>
      </c>
      <c r="J317" s="18">
        <f>41772.68</f>
        <v>41772.68</v>
      </c>
      <c r="K317" s="18">
        <f>2766.31</f>
        <v>2766.31</v>
      </c>
      <c r="L317" s="19">
        <f>SUM(F317:K317)</f>
        <v>63005.97</v>
      </c>
      <c r="M317" s="8"/>
      <c r="N317" s="264"/>
    </row>
    <row r="318" spans="1:14" s="3" customFormat="1" ht="12.2" customHeight="1" x14ac:dyDescent="0.15">
      <c r="A318" s="1" t="s">
        <v>441</v>
      </c>
      <c r="B318" s="2" t="s">
        <v>359</v>
      </c>
      <c r="C318" s="2" t="s">
        <v>293</v>
      </c>
      <c r="D318" s="2" t="s">
        <v>431</v>
      </c>
      <c r="E318" s="6">
        <v>1400</v>
      </c>
      <c r="F318" s="18"/>
      <c r="G318" s="18"/>
      <c r="H318" s="18">
        <f>918</f>
        <v>918</v>
      </c>
      <c r="I318" s="18"/>
      <c r="J318" s="18"/>
      <c r="K318" s="18"/>
      <c r="L318" s="19">
        <f>SUM(F318:K318)</f>
        <v>918</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f>533.42+32413.33+175.21+13381.1</f>
        <v>46503.06</v>
      </c>
      <c r="G320" s="18">
        <f>40.8+32.97+1023.65</f>
        <v>1097.42</v>
      </c>
      <c r="H320" s="18">
        <f>1735.8</f>
        <v>1735.8</v>
      </c>
      <c r="I320" s="18">
        <f>56.05</f>
        <v>56.05</v>
      </c>
      <c r="J320" s="18"/>
      <c r="K320" s="18"/>
      <c r="L320" s="19">
        <f t="shared" ref="L320:L326" si="16">SUM(F320:K320)</f>
        <v>49392.33</v>
      </c>
      <c r="M320" s="8"/>
      <c r="N320" s="264"/>
    </row>
    <row r="321" spans="1:14" s="3" customFormat="1" ht="12.2" customHeight="1" x14ac:dyDescent="0.15">
      <c r="A321" s="1" t="s">
        <v>443</v>
      </c>
      <c r="B321" s="2" t="s">
        <v>359</v>
      </c>
      <c r="C321" s="2" t="s">
        <v>295</v>
      </c>
      <c r="D321" s="2" t="s">
        <v>431</v>
      </c>
      <c r="E321" s="6">
        <v>2200</v>
      </c>
      <c r="F321" s="18"/>
      <c r="G321" s="18"/>
      <c r="H321" s="18">
        <f>18045.5+895.9</f>
        <v>18941.400000000001</v>
      </c>
      <c r="I321" s="18"/>
      <c r="J321" s="18"/>
      <c r="K321" s="18"/>
      <c r="L321" s="19">
        <f t="shared" si="16"/>
        <v>18941.400000000001</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f>51646.59+11263.69</f>
        <v>62910.28</v>
      </c>
      <c r="I325" s="18">
        <f>6112.5+21273.14</f>
        <v>27385.64</v>
      </c>
      <c r="J325" s="18">
        <f>6680.77</f>
        <v>6680.77</v>
      </c>
      <c r="K325" s="18"/>
      <c r="L325" s="19">
        <f t="shared" si="16"/>
        <v>96976.69</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f>7534.4+2774.4</f>
        <v>10308.799999999999</v>
      </c>
      <c r="I327" s="18"/>
      <c r="J327" s="18"/>
      <c r="K327" s="18"/>
      <c r="L327" s="19">
        <f>SUM(F327:K327)</f>
        <v>10308.799999999999</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277080.78000000003</v>
      </c>
      <c r="G329" s="42">
        <f t="shared" si="17"/>
        <v>55970.87</v>
      </c>
      <c r="H329" s="42">
        <f t="shared" si="17"/>
        <v>171319.28999999998</v>
      </c>
      <c r="I329" s="42">
        <f t="shared" si="17"/>
        <v>98383.75</v>
      </c>
      <c r="J329" s="42">
        <f t="shared" si="17"/>
        <v>62965.53</v>
      </c>
      <c r="K329" s="42">
        <f t="shared" si="17"/>
        <v>2766.31</v>
      </c>
      <c r="L329" s="41">
        <f t="shared" si="17"/>
        <v>668486.53</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1572200.5499999998</v>
      </c>
      <c r="G339" s="41">
        <f t="shared" si="20"/>
        <v>383679.23</v>
      </c>
      <c r="H339" s="41">
        <f t="shared" si="20"/>
        <v>553980.62</v>
      </c>
      <c r="I339" s="41">
        <f t="shared" si="20"/>
        <v>366651.20999999996</v>
      </c>
      <c r="J339" s="41">
        <f t="shared" si="20"/>
        <v>118822.06</v>
      </c>
      <c r="K339" s="41">
        <f t="shared" si="20"/>
        <v>2865.13</v>
      </c>
      <c r="L339" s="41">
        <f t="shared" si="20"/>
        <v>2998198.8</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1572200.5499999998</v>
      </c>
      <c r="G353" s="41">
        <f>G339</f>
        <v>383679.23</v>
      </c>
      <c r="H353" s="41">
        <f>H339</f>
        <v>553980.62</v>
      </c>
      <c r="I353" s="41">
        <f>I339</f>
        <v>366651.20999999996</v>
      </c>
      <c r="J353" s="41">
        <f>J339</f>
        <v>118822.06</v>
      </c>
      <c r="K353" s="47">
        <f>K339+K352</f>
        <v>2865.13</v>
      </c>
      <c r="L353" s="41">
        <f>L339+L352</f>
        <v>2998198.8</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f>161187.64+3262.14</f>
        <v>164449.78000000003</v>
      </c>
      <c r="G359" s="18">
        <f>27857.99+249.26</f>
        <v>28107.25</v>
      </c>
      <c r="H359" s="18">
        <f>1447.63</f>
        <v>1447.63</v>
      </c>
      <c r="I359" s="18">
        <f>119573.31</f>
        <v>119573.31</v>
      </c>
      <c r="J359" s="18">
        <f>1189.1</f>
        <v>1189.0999999999999</v>
      </c>
      <c r="K359" s="18">
        <f>739.74</f>
        <v>739.74</v>
      </c>
      <c r="L359" s="13">
        <f>SUM(F359:K359)</f>
        <v>315506.81</v>
      </c>
      <c r="M359" s="8"/>
      <c r="N359" s="264"/>
    </row>
    <row r="360" spans="1:22" s="3" customFormat="1" ht="12.2" customHeight="1" x14ac:dyDescent="0.15">
      <c r="A360" s="1" t="s">
        <v>542</v>
      </c>
      <c r="B360" s="2" t="s">
        <v>366</v>
      </c>
      <c r="C360" s="6">
        <v>2</v>
      </c>
      <c r="D360" s="2" t="s">
        <v>431</v>
      </c>
      <c r="E360" s="6"/>
      <c r="F360" s="18">
        <f>51810.31</f>
        <v>51810.31</v>
      </c>
      <c r="G360" s="18">
        <f>8954.36</f>
        <v>8954.36</v>
      </c>
      <c r="H360" s="18">
        <f>755.28</f>
        <v>755.28</v>
      </c>
      <c r="I360" s="18">
        <f>62386.08</f>
        <v>62386.080000000002</v>
      </c>
      <c r="J360" s="18">
        <f>620.4</f>
        <v>620.4</v>
      </c>
      <c r="K360" s="18">
        <f>385.96</f>
        <v>385.96</v>
      </c>
      <c r="L360" s="19">
        <f>SUM(F360:K360)</f>
        <v>124912.39</v>
      </c>
      <c r="M360" s="8"/>
      <c r="N360" s="264"/>
    </row>
    <row r="361" spans="1:22" s="3" customFormat="1" ht="12.2" customHeight="1" x14ac:dyDescent="0.15">
      <c r="A361" s="3" t="s">
        <v>543</v>
      </c>
      <c r="B361" s="2" t="s">
        <v>366</v>
      </c>
      <c r="C361" s="6">
        <v>3</v>
      </c>
      <c r="D361" s="2" t="s">
        <v>431</v>
      </c>
      <c r="E361" s="6"/>
      <c r="F361" s="18">
        <f>74837.12</f>
        <v>74837.119999999995</v>
      </c>
      <c r="G361" s="18">
        <f>12934.07</f>
        <v>12934.07</v>
      </c>
      <c r="H361" s="18">
        <f>944.11</f>
        <v>944.11</v>
      </c>
      <c r="I361" s="18">
        <f>77982.6</f>
        <v>77982.600000000006</v>
      </c>
      <c r="J361" s="18">
        <f>775.5</f>
        <v>775.5</v>
      </c>
      <c r="K361" s="18">
        <f>482.45</f>
        <v>482.45</v>
      </c>
      <c r="L361" s="19">
        <f>SUM(F361:K361)</f>
        <v>167955.85000000003</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291097.21000000002</v>
      </c>
      <c r="G363" s="47">
        <f t="shared" si="22"/>
        <v>49995.68</v>
      </c>
      <c r="H363" s="47">
        <f t="shared" si="22"/>
        <v>3147.02</v>
      </c>
      <c r="I363" s="47">
        <f t="shared" si="22"/>
        <v>259941.99000000002</v>
      </c>
      <c r="J363" s="47">
        <f t="shared" si="22"/>
        <v>2585</v>
      </c>
      <c r="K363" s="47">
        <f t="shared" si="22"/>
        <v>1608.15</v>
      </c>
      <c r="L363" s="47">
        <f t="shared" si="22"/>
        <v>608375.05000000005</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111063.5</f>
        <v>111063.5</v>
      </c>
      <c r="G368" s="18">
        <f>57946.17</f>
        <v>57946.17</v>
      </c>
      <c r="H368" s="18">
        <f>72432.71</f>
        <v>72432.710000000006</v>
      </c>
      <c r="I368" s="56">
        <f>SUM(F368:H368)</f>
        <v>241442.38</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8509.81</f>
        <v>8509.81</v>
      </c>
      <c r="G369" s="63">
        <f>4439.91</f>
        <v>4439.91</v>
      </c>
      <c r="H369" s="63">
        <f>5549.89</f>
        <v>5549.89</v>
      </c>
      <c r="I369" s="56">
        <f>SUM(F369:H369)</f>
        <v>18499.61</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119573.31</v>
      </c>
      <c r="G370" s="47">
        <f>SUM(G368:G369)</f>
        <v>62386.080000000002</v>
      </c>
      <c r="H370" s="47">
        <f>SUM(H368:H369)</f>
        <v>77982.600000000006</v>
      </c>
      <c r="I370" s="47">
        <f>SUM(I368:I369)</f>
        <v>259941.99</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0</v>
      </c>
      <c r="G466" s="18">
        <v>29593.32</v>
      </c>
      <c r="H466" s="18">
        <v>65652.679999999993</v>
      </c>
      <c r="I466" s="18"/>
      <c r="J466" s="18"/>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17303461.82</v>
      </c>
      <c r="G469" s="18">
        <v>696583.23</v>
      </c>
      <c r="H469" s="18">
        <v>2965103.5999999996</v>
      </c>
      <c r="I469" s="18"/>
      <c r="J469" s="18"/>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17303461.82</v>
      </c>
      <c r="G471" s="53">
        <f>SUM(G469:G470)</f>
        <v>696583.23</v>
      </c>
      <c r="H471" s="53">
        <f>SUM(H469:H470)</f>
        <v>2965103.5999999996</v>
      </c>
      <c r="I471" s="53">
        <f>SUM(I469:I470)</f>
        <v>0</v>
      </c>
      <c r="J471" s="53">
        <f>SUM(J469:J470)</f>
        <v>0</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17303461.82</v>
      </c>
      <c r="G473" s="18">
        <v>608375.05000000005</v>
      </c>
      <c r="H473" s="18">
        <v>2998198.8</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17303461.82</v>
      </c>
      <c r="G475" s="53">
        <f>SUM(G473:G474)</f>
        <v>608375.05000000005</v>
      </c>
      <c r="H475" s="53">
        <f>SUM(H473:H474)</f>
        <v>2998198.8</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0</v>
      </c>
      <c r="G477" s="53">
        <f>(G466+G471)- G475</f>
        <v>117801.49999999988</v>
      </c>
      <c r="H477" s="53">
        <f>(H466+H471)- H475</f>
        <v>32557.479999999981</v>
      </c>
      <c r="I477" s="53">
        <f>(I466+I471)- I475</f>
        <v>0</v>
      </c>
      <c r="J477" s="53">
        <f>(J466+J471)- J475</f>
        <v>0</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29</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1675</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1676</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357204.63</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2.85</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152569.32999999999</v>
      </c>
      <c r="G496" s="18"/>
      <c r="H496" s="18"/>
      <c r="I496" s="18"/>
      <c r="J496" s="18"/>
      <c r="K496" s="53">
        <f>SUM(F496:J496)</f>
        <v>152569.32999999999</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22244</v>
      </c>
      <c r="G498" s="18"/>
      <c r="H498" s="18"/>
      <c r="I498" s="18"/>
      <c r="J498" s="18"/>
      <c r="K498" s="53">
        <f t="shared" si="35"/>
        <v>22244</v>
      </c>
      <c r="L498" s="24" t="s">
        <v>288</v>
      </c>
      <c r="N498" s="263"/>
    </row>
    <row r="499" spans="1:14" s="52" customFormat="1" ht="12.2" customHeight="1" x14ac:dyDescent="0.2">
      <c r="A499" s="200" t="s">
        <v>622</v>
      </c>
      <c r="B499" s="201">
        <v>20</v>
      </c>
      <c r="C499" s="202">
        <v>9</v>
      </c>
      <c r="D499" s="203" t="s">
        <v>432</v>
      </c>
      <c r="E499" s="202"/>
      <c r="F499" s="204">
        <v>130325.33</v>
      </c>
      <c r="G499" s="204"/>
      <c r="H499" s="204"/>
      <c r="I499" s="204"/>
      <c r="J499" s="204"/>
      <c r="K499" s="205">
        <f t="shared" si="35"/>
        <v>130325.33</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130325.33</v>
      </c>
      <c r="G501" s="42">
        <f>SUM(G499:G500)</f>
        <v>0</v>
      </c>
      <c r="H501" s="42">
        <f>SUM(H499:H500)</f>
        <v>0</v>
      </c>
      <c r="I501" s="42">
        <f>SUM(I499:I500)</f>
        <v>0</v>
      </c>
      <c r="J501" s="42">
        <f>SUM(J499:J500)</f>
        <v>0</v>
      </c>
      <c r="K501" s="42">
        <f t="shared" si="35"/>
        <v>130325.33</v>
      </c>
      <c r="L501" s="45" t="s">
        <v>288</v>
      </c>
      <c r="N501" s="263"/>
    </row>
    <row r="502" spans="1:14" s="52" customFormat="1" ht="12.2" customHeight="1" x14ac:dyDescent="0.2">
      <c r="A502" s="200" t="s">
        <v>651</v>
      </c>
      <c r="B502" s="201">
        <v>20</v>
      </c>
      <c r="C502" s="202">
        <v>12</v>
      </c>
      <c r="D502" s="203" t="s">
        <v>432</v>
      </c>
      <c r="E502" s="202"/>
      <c r="F502" s="204">
        <v>122788.93</v>
      </c>
      <c r="G502" s="204"/>
      <c r="H502" s="204"/>
      <c r="I502" s="204"/>
      <c r="J502" s="204"/>
      <c r="K502" s="205">
        <f t="shared" si="35"/>
        <v>122788.93</v>
      </c>
      <c r="L502" s="206" t="s">
        <v>288</v>
      </c>
      <c r="N502" s="263"/>
    </row>
    <row r="503" spans="1:14" s="52" customFormat="1" ht="12.2" customHeight="1" thickBot="1" x14ac:dyDescent="0.25">
      <c r="A503" s="22" t="s">
        <v>625</v>
      </c>
      <c r="B503" s="75">
        <v>20</v>
      </c>
      <c r="C503" s="115">
        <v>13</v>
      </c>
      <c r="D503" s="2" t="s">
        <v>432</v>
      </c>
      <c r="E503" s="115"/>
      <c r="F503" s="18">
        <v>9658.5400000000009</v>
      </c>
      <c r="G503" s="18"/>
      <c r="H503" s="18"/>
      <c r="I503" s="18"/>
      <c r="J503" s="18"/>
      <c r="K503" s="53">
        <f t="shared" si="35"/>
        <v>9658.5400000000009</v>
      </c>
      <c r="L503" s="24" t="s">
        <v>288</v>
      </c>
      <c r="N503" s="263"/>
    </row>
    <row r="504" spans="1:14" s="52" customFormat="1" ht="12.2" customHeight="1" thickTop="1" x14ac:dyDescent="0.2">
      <c r="A504" s="139" t="s">
        <v>626</v>
      </c>
      <c r="B504" s="44">
        <v>20</v>
      </c>
      <c r="C504" s="195">
        <v>14</v>
      </c>
      <c r="D504" s="39" t="s">
        <v>432</v>
      </c>
      <c r="E504" s="195"/>
      <c r="F504" s="42">
        <f>SUM(F502:F503)</f>
        <v>132447.47</v>
      </c>
      <c r="G504" s="42">
        <f>SUM(G502:G503)</f>
        <v>0</v>
      </c>
      <c r="H504" s="42">
        <f>SUM(H502:H503)</f>
        <v>0</v>
      </c>
      <c r="I504" s="42">
        <f>SUM(I502:I503)</f>
        <v>0</v>
      </c>
      <c r="J504" s="42">
        <f>SUM(J502:J503)</f>
        <v>0</v>
      </c>
      <c r="K504" s="42">
        <f t="shared" si="35"/>
        <v>132447.47</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5226.1899999999996</v>
      </c>
      <c r="G522" s="18">
        <v>617.89</v>
      </c>
      <c r="H522" s="18">
        <v>36215.67</v>
      </c>
      <c r="I522" s="18">
        <v>246.98</v>
      </c>
      <c r="J522" s="18"/>
      <c r="K522" s="18"/>
      <c r="L522" s="88">
        <f>SUM(F522:K522)</f>
        <v>42306.73</v>
      </c>
      <c r="N522" s="263"/>
    </row>
    <row r="523" spans="1:14" s="52" customFormat="1" ht="12.2" customHeight="1" x14ac:dyDescent="0.2">
      <c r="A523" s="22" t="s">
        <v>634</v>
      </c>
      <c r="B523" s="105">
        <v>21</v>
      </c>
      <c r="C523" s="115">
        <v>2</v>
      </c>
      <c r="D523" s="2" t="s">
        <v>432</v>
      </c>
      <c r="E523" s="115"/>
      <c r="F523" s="18">
        <v>1720.63</v>
      </c>
      <c r="G523" s="18">
        <v>195.23</v>
      </c>
      <c r="H523" s="18">
        <v>15521</v>
      </c>
      <c r="I523" s="18">
        <v>72.040000000000006</v>
      </c>
      <c r="J523" s="18"/>
      <c r="K523" s="18"/>
      <c r="L523" s="88">
        <f>SUM(F523:K523)</f>
        <v>17508.900000000001</v>
      </c>
      <c r="N523" s="263"/>
    </row>
    <row r="524" spans="1:14" s="52" customFormat="1" ht="12.2" customHeight="1" thickBot="1" x14ac:dyDescent="0.25">
      <c r="A524" s="22" t="s">
        <v>635</v>
      </c>
      <c r="B524" s="105">
        <v>21</v>
      </c>
      <c r="C524" s="115">
        <v>3</v>
      </c>
      <c r="D524" s="2" t="s">
        <v>432</v>
      </c>
      <c r="E524" s="115"/>
      <c r="F524" s="18">
        <v>1246.6500000000001</v>
      </c>
      <c r="G524" s="18">
        <v>116.57</v>
      </c>
      <c r="H524" s="18">
        <v>22172.86</v>
      </c>
      <c r="I524" s="18">
        <v>24.01</v>
      </c>
      <c r="J524" s="18"/>
      <c r="K524" s="18"/>
      <c r="L524" s="88">
        <f>SUM(F524:K524)</f>
        <v>23560.09</v>
      </c>
      <c r="N524" s="263"/>
    </row>
    <row r="525" spans="1:14" s="52" customFormat="1" ht="12.2" customHeight="1" thickTop="1" x14ac:dyDescent="0.2">
      <c r="A525" s="139" t="s">
        <v>63</v>
      </c>
      <c r="B525" s="107">
        <v>21</v>
      </c>
      <c r="C525" s="195">
        <v>4</v>
      </c>
      <c r="D525" s="196" t="s">
        <v>432</v>
      </c>
      <c r="E525" s="195"/>
      <c r="F525" s="108">
        <f>SUM(F522:F524)</f>
        <v>8193.4699999999993</v>
      </c>
      <c r="G525" s="108">
        <f t="shared" ref="G525:L525" si="36">SUM(G522:G524)</f>
        <v>929.69</v>
      </c>
      <c r="H525" s="108">
        <f t="shared" si="36"/>
        <v>73909.53</v>
      </c>
      <c r="I525" s="108">
        <f t="shared" si="36"/>
        <v>343.03</v>
      </c>
      <c r="J525" s="108">
        <f t="shared" si="36"/>
        <v>0</v>
      </c>
      <c r="K525" s="108">
        <f t="shared" si="36"/>
        <v>0</v>
      </c>
      <c r="L525" s="89">
        <f t="shared" si="36"/>
        <v>83375.72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299291.57</v>
      </c>
      <c r="G527" s="18">
        <v>129183.05</v>
      </c>
      <c r="H527" s="18">
        <v>292556.28000000003</v>
      </c>
      <c r="I527" s="18">
        <v>4271.43</v>
      </c>
      <c r="J527" s="18"/>
      <c r="K527" s="18"/>
      <c r="L527" s="88">
        <f>SUM(F527:K527)</f>
        <v>725302.33000000007</v>
      </c>
      <c r="M527" s="8"/>
      <c r="N527" s="264"/>
    </row>
    <row r="528" spans="1:14" s="3" customFormat="1" ht="12.2" customHeight="1" x14ac:dyDescent="0.15">
      <c r="A528" s="22" t="s">
        <v>634</v>
      </c>
      <c r="B528" s="105">
        <v>21</v>
      </c>
      <c r="C528" s="115">
        <v>6</v>
      </c>
      <c r="D528" s="2" t="s">
        <v>432</v>
      </c>
      <c r="E528" s="115"/>
      <c r="F528" s="18">
        <v>125026.76</v>
      </c>
      <c r="G528" s="18">
        <v>53252.43</v>
      </c>
      <c r="H528" s="18">
        <v>71520.63</v>
      </c>
      <c r="I528" s="18">
        <v>1680.85</v>
      </c>
      <c r="J528" s="18"/>
      <c r="K528" s="18"/>
      <c r="L528" s="88">
        <f>SUM(F528:K528)</f>
        <v>251480.67</v>
      </c>
      <c r="M528" s="8"/>
      <c r="N528" s="264"/>
    </row>
    <row r="529" spans="1:14" s="3" customFormat="1" ht="12.2" customHeight="1" thickBot="1" x14ac:dyDescent="0.2">
      <c r="A529" s="22" t="s">
        <v>635</v>
      </c>
      <c r="B529" s="118">
        <v>21</v>
      </c>
      <c r="C529" s="118">
        <v>7</v>
      </c>
      <c r="D529" s="2" t="s">
        <v>432</v>
      </c>
      <c r="E529" s="118"/>
      <c r="F529" s="18">
        <v>50799.83</v>
      </c>
      <c r="G529" s="18">
        <v>23142.65</v>
      </c>
      <c r="H529" s="18">
        <v>2490.85</v>
      </c>
      <c r="I529" s="18">
        <v>901.59</v>
      </c>
      <c r="J529" s="18"/>
      <c r="K529" s="18"/>
      <c r="L529" s="88">
        <f>SUM(F529:K529)</f>
        <v>77334.920000000013</v>
      </c>
      <c r="M529" s="8"/>
      <c r="N529" s="264"/>
    </row>
    <row r="530" spans="1:14" s="3" customFormat="1" ht="12.2" customHeight="1" thickTop="1" x14ac:dyDescent="0.15">
      <c r="A530" s="139" t="s">
        <v>65</v>
      </c>
      <c r="B530" s="107">
        <v>21</v>
      </c>
      <c r="C530" s="107">
        <v>8</v>
      </c>
      <c r="D530" s="158" t="s">
        <v>432</v>
      </c>
      <c r="E530" s="107"/>
      <c r="F530" s="89">
        <f>SUM(F527:F529)</f>
        <v>475118.16000000003</v>
      </c>
      <c r="G530" s="89">
        <f t="shared" ref="G530:L530" si="37">SUM(G527:G529)</f>
        <v>205578.13</v>
      </c>
      <c r="H530" s="89">
        <f t="shared" si="37"/>
        <v>366567.76</v>
      </c>
      <c r="I530" s="89">
        <f t="shared" si="37"/>
        <v>6853.8700000000008</v>
      </c>
      <c r="J530" s="89">
        <f t="shared" si="37"/>
        <v>0</v>
      </c>
      <c r="K530" s="89">
        <f t="shared" si="37"/>
        <v>0</v>
      </c>
      <c r="L530" s="89">
        <f t="shared" si="37"/>
        <v>1054117.9200000002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63917.11</v>
      </c>
      <c r="G532" s="18">
        <v>15559.77</v>
      </c>
      <c r="H532" s="18">
        <v>2739.06</v>
      </c>
      <c r="I532" s="18">
        <v>2424.02</v>
      </c>
      <c r="J532" s="18"/>
      <c r="K532" s="18">
        <v>712.95</v>
      </c>
      <c r="L532" s="88">
        <f>SUM(F532:K532)</f>
        <v>85352.91</v>
      </c>
      <c r="M532" s="8"/>
      <c r="N532" s="264"/>
    </row>
    <row r="533" spans="1:14" s="3" customFormat="1" ht="12.2" customHeight="1" x14ac:dyDescent="0.15">
      <c r="A533" s="22" t="s">
        <v>634</v>
      </c>
      <c r="B533" s="105">
        <v>21</v>
      </c>
      <c r="C533" s="105">
        <v>10</v>
      </c>
      <c r="D533" s="2" t="s">
        <v>432</v>
      </c>
      <c r="E533" s="105"/>
      <c r="F533" s="18">
        <v>27393.05</v>
      </c>
      <c r="G533" s="18">
        <v>6668.48</v>
      </c>
      <c r="H533" s="18">
        <v>1173.8800000000001</v>
      </c>
      <c r="I533" s="18">
        <v>707</v>
      </c>
      <c r="J533" s="18"/>
      <c r="K533" s="18">
        <v>305.55</v>
      </c>
      <c r="L533" s="88">
        <f>SUM(F533:K533)</f>
        <v>36247.96</v>
      </c>
      <c r="M533" s="8"/>
      <c r="N533" s="264"/>
    </row>
    <row r="534" spans="1:14" s="3" customFormat="1" ht="12.2" customHeight="1" thickBot="1" x14ac:dyDescent="0.2">
      <c r="A534" s="22" t="s">
        <v>635</v>
      </c>
      <c r="B534" s="105">
        <v>21</v>
      </c>
      <c r="C534" s="105">
        <v>11</v>
      </c>
      <c r="D534" s="2" t="s">
        <v>432</v>
      </c>
      <c r="E534" s="105"/>
      <c r="F534" s="18">
        <v>39132.92</v>
      </c>
      <c r="G534" s="18">
        <v>9526.4</v>
      </c>
      <c r="H534" s="18">
        <v>1676.97</v>
      </c>
      <c r="I534" s="18">
        <v>235.67</v>
      </c>
      <c r="J534" s="18"/>
      <c r="K534" s="18">
        <v>436.5</v>
      </c>
      <c r="L534" s="88">
        <f>SUM(F534:K534)</f>
        <v>51008.46</v>
      </c>
      <c r="M534" s="8"/>
      <c r="N534" s="264"/>
    </row>
    <row r="535" spans="1:14" s="3" customFormat="1" ht="12.2" customHeight="1" thickTop="1" x14ac:dyDescent="0.15">
      <c r="A535" s="139" t="s">
        <v>67</v>
      </c>
      <c r="B535" s="107">
        <v>21</v>
      </c>
      <c r="C535" s="107">
        <v>12</v>
      </c>
      <c r="D535" s="158" t="s">
        <v>432</v>
      </c>
      <c r="E535" s="107"/>
      <c r="F535" s="89">
        <f>SUM(F532:F534)</f>
        <v>130443.08</v>
      </c>
      <c r="G535" s="89">
        <f t="shared" ref="G535:L535" si="38">SUM(G532:G534)</f>
        <v>31754.65</v>
      </c>
      <c r="H535" s="89">
        <f t="shared" si="38"/>
        <v>5589.91</v>
      </c>
      <c r="I535" s="89">
        <f t="shared" si="38"/>
        <v>3366.69</v>
      </c>
      <c r="J535" s="89">
        <f t="shared" si="38"/>
        <v>0</v>
      </c>
      <c r="K535" s="89">
        <f t="shared" si="38"/>
        <v>1455</v>
      </c>
      <c r="L535" s="89">
        <f t="shared" si="38"/>
        <v>172609.33</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4"/>
    </row>
    <row r="546" spans="1:14" s="3" customFormat="1" ht="12.2" customHeight="1" thickTop="1" x14ac:dyDescent="0.15">
      <c r="A546" s="98" t="s">
        <v>72</v>
      </c>
      <c r="B546" s="107">
        <v>21</v>
      </c>
      <c r="C546" s="107">
        <v>21</v>
      </c>
      <c r="D546" s="158" t="s">
        <v>432</v>
      </c>
      <c r="E546" s="107"/>
      <c r="F546" s="89">
        <f>F525+F530+F535+F540+F545</f>
        <v>613754.71</v>
      </c>
      <c r="G546" s="89">
        <f t="shared" ref="G546:L546" si="41">G525+G530+G535+G540+G545</f>
        <v>238262.47</v>
      </c>
      <c r="H546" s="89">
        <f t="shared" si="41"/>
        <v>446067.20000000001</v>
      </c>
      <c r="I546" s="89">
        <f t="shared" si="41"/>
        <v>10563.59</v>
      </c>
      <c r="J546" s="89">
        <f t="shared" si="41"/>
        <v>0</v>
      </c>
      <c r="K546" s="89">
        <f t="shared" si="41"/>
        <v>1455</v>
      </c>
      <c r="L546" s="89">
        <f t="shared" si="41"/>
        <v>1310102.9700000002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42306.73</v>
      </c>
      <c r="G550" s="87">
        <f>L527</f>
        <v>725302.33000000007</v>
      </c>
      <c r="H550" s="87">
        <f>L532</f>
        <v>85352.91</v>
      </c>
      <c r="I550" s="87">
        <f>L537</f>
        <v>0</v>
      </c>
      <c r="J550" s="87">
        <f>L542</f>
        <v>0</v>
      </c>
      <c r="K550" s="87">
        <f>SUM(F550:J550)</f>
        <v>852961.97000000009</v>
      </c>
      <c r="L550" s="24" t="s">
        <v>288</v>
      </c>
      <c r="M550" s="8"/>
      <c r="N550" s="264"/>
    </row>
    <row r="551" spans="1:14" s="3" customFormat="1" ht="12.2" customHeight="1" x14ac:dyDescent="0.15">
      <c r="A551" s="22" t="s">
        <v>634</v>
      </c>
      <c r="B551" s="75">
        <v>21</v>
      </c>
      <c r="C551" s="75">
        <v>23</v>
      </c>
      <c r="D551" s="2" t="s">
        <v>432</v>
      </c>
      <c r="E551" s="75"/>
      <c r="F551" s="87">
        <f>L523</f>
        <v>17508.900000000001</v>
      </c>
      <c r="G551" s="87">
        <f>L528</f>
        <v>251480.67</v>
      </c>
      <c r="H551" s="87">
        <f>L533</f>
        <v>36247.96</v>
      </c>
      <c r="I551" s="87">
        <f>L538</f>
        <v>0</v>
      </c>
      <c r="J551" s="87">
        <f>L543</f>
        <v>0</v>
      </c>
      <c r="K551" s="87">
        <f>SUM(F551:J551)</f>
        <v>305237.53000000003</v>
      </c>
      <c r="L551" s="24" t="s">
        <v>288</v>
      </c>
      <c r="M551" s="8"/>
      <c r="N551" s="264"/>
    </row>
    <row r="552" spans="1:14" s="3" customFormat="1" ht="12.2" customHeight="1" thickBot="1" x14ac:dyDescent="0.2">
      <c r="A552" s="22" t="s">
        <v>635</v>
      </c>
      <c r="B552" s="75">
        <v>21</v>
      </c>
      <c r="C552" s="75">
        <v>24</v>
      </c>
      <c r="D552" s="2" t="s">
        <v>432</v>
      </c>
      <c r="E552" s="75"/>
      <c r="F552" s="87">
        <f>L524</f>
        <v>23560.09</v>
      </c>
      <c r="G552" s="87">
        <f>L529</f>
        <v>77334.920000000013</v>
      </c>
      <c r="H552" s="87">
        <f>L534</f>
        <v>51008.46</v>
      </c>
      <c r="I552" s="87">
        <f>L539</f>
        <v>0</v>
      </c>
      <c r="J552" s="87">
        <f>L544</f>
        <v>0</v>
      </c>
      <c r="K552" s="87">
        <f>SUM(F552:J552)</f>
        <v>151903.47</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83375.72</v>
      </c>
      <c r="G553" s="89">
        <f t="shared" si="42"/>
        <v>1054117.9200000002</v>
      </c>
      <c r="H553" s="89">
        <f t="shared" si="42"/>
        <v>172609.33</v>
      </c>
      <c r="I553" s="89">
        <f t="shared" si="42"/>
        <v>0</v>
      </c>
      <c r="J553" s="89">
        <f t="shared" si="42"/>
        <v>0</v>
      </c>
      <c r="K553" s="89">
        <f t="shared" si="42"/>
        <v>1310102.97</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v>518293.24</v>
      </c>
      <c r="G558" s="18">
        <v>155587.39000000001</v>
      </c>
      <c r="H558" s="18">
        <v>4877.99</v>
      </c>
      <c r="I558" s="18">
        <v>86665</v>
      </c>
      <c r="J558" s="18">
        <v>5412.17</v>
      </c>
      <c r="K558" s="18">
        <v>98.82</v>
      </c>
      <c r="L558" s="88">
        <f>SUM(F558:K558)</f>
        <v>770934.61</v>
      </c>
      <c r="M558" s="8"/>
      <c r="N558" s="264"/>
    </row>
    <row r="559" spans="1:14" s="3" customFormat="1" ht="12.2" customHeight="1" x14ac:dyDescent="0.15">
      <c r="A559" s="22" t="s">
        <v>634</v>
      </c>
      <c r="B559" s="105">
        <v>22</v>
      </c>
      <c r="C559" s="115">
        <v>2</v>
      </c>
      <c r="D559" s="2" t="s">
        <v>432</v>
      </c>
      <c r="E559" s="115"/>
      <c r="F559" s="18">
        <v>74434.86</v>
      </c>
      <c r="G559" s="18">
        <v>43190.42</v>
      </c>
      <c r="H559" s="18"/>
      <c r="I559" s="18">
        <v>99.96</v>
      </c>
      <c r="J559" s="18">
        <v>501.13</v>
      </c>
      <c r="K559" s="18"/>
      <c r="L559" s="88">
        <f>SUM(F559:K559)</f>
        <v>118226.37000000001</v>
      </c>
      <c r="M559" s="8"/>
      <c r="N559" s="264"/>
    </row>
    <row r="560" spans="1:14" s="3" customFormat="1" ht="12.2" customHeight="1" thickBot="1" x14ac:dyDescent="0.2">
      <c r="A560" s="22" t="s">
        <v>635</v>
      </c>
      <c r="B560" s="105">
        <v>22</v>
      </c>
      <c r="C560" s="115">
        <v>3</v>
      </c>
      <c r="D560" s="2" t="s">
        <v>432</v>
      </c>
      <c r="E560" s="115"/>
      <c r="F560" s="18"/>
      <c r="G560" s="18"/>
      <c r="H560" s="18">
        <v>42459.4</v>
      </c>
      <c r="I560" s="18"/>
      <c r="J560" s="18"/>
      <c r="K560" s="18"/>
      <c r="L560" s="88">
        <f>SUM(F560:K560)</f>
        <v>42459.4</v>
      </c>
      <c r="M560" s="8"/>
      <c r="N560" s="264"/>
    </row>
    <row r="561" spans="1:14" s="3" customFormat="1" ht="12.2" customHeight="1" thickTop="1" x14ac:dyDescent="0.15">
      <c r="A561" s="139" t="s">
        <v>63</v>
      </c>
      <c r="B561" s="107">
        <v>22</v>
      </c>
      <c r="C561" s="195">
        <v>4</v>
      </c>
      <c r="D561" s="196" t="s">
        <v>432</v>
      </c>
      <c r="E561" s="195"/>
      <c r="F561" s="108">
        <f t="shared" ref="F561:L561" si="43">SUM(F558:F560)</f>
        <v>592728.1</v>
      </c>
      <c r="G561" s="108">
        <f t="shared" si="43"/>
        <v>198777.81</v>
      </c>
      <c r="H561" s="108">
        <f t="shared" si="43"/>
        <v>47337.39</v>
      </c>
      <c r="I561" s="108">
        <f t="shared" si="43"/>
        <v>86764.96</v>
      </c>
      <c r="J561" s="108">
        <f t="shared" si="43"/>
        <v>5913.3</v>
      </c>
      <c r="K561" s="108">
        <f t="shared" si="43"/>
        <v>98.82</v>
      </c>
      <c r="L561" s="89">
        <f t="shared" si="43"/>
        <v>931620.38</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592728.1</v>
      </c>
      <c r="G572" s="89">
        <f t="shared" ref="G572:L572" si="46">G561+G566+G571</f>
        <v>198777.81</v>
      </c>
      <c r="H572" s="89">
        <f t="shared" si="46"/>
        <v>47337.39</v>
      </c>
      <c r="I572" s="89">
        <f t="shared" si="46"/>
        <v>86764.96</v>
      </c>
      <c r="J572" s="89">
        <f t="shared" si="46"/>
        <v>5913.3</v>
      </c>
      <c r="K572" s="89">
        <f t="shared" si="46"/>
        <v>98.82</v>
      </c>
      <c r="L572" s="89">
        <f t="shared" si="46"/>
        <v>931620.38</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8513.6</v>
      </c>
      <c r="G576" s="18">
        <v>357.28</v>
      </c>
      <c r="H576" s="18"/>
      <c r="I576" s="87">
        <f>SUM(F576:H576)</f>
        <v>8870.880000000001</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12230</v>
      </c>
      <c r="I578" s="87">
        <f t="shared" si="47"/>
        <v>12230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149716.12</v>
      </c>
      <c r="G579" s="18"/>
      <c r="H579" s="18"/>
      <c r="I579" s="87">
        <f t="shared" si="47"/>
        <v>149716.12</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1920</v>
      </c>
      <c r="G583" s="18">
        <v>352849.98</v>
      </c>
      <c r="H583" s="18">
        <v>332918.37</v>
      </c>
      <c r="I583" s="87">
        <f t="shared" si="47"/>
        <v>687688.35</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184578.69+826.08-0.03</f>
        <v>185404.74</v>
      </c>
      <c r="I592" s="18">
        <f>59633.11+280.1+0.02</f>
        <v>59913.229999999996</v>
      </c>
      <c r="J592" s="18">
        <f>39755.41+233.07+0.01</f>
        <v>39988.490000000005</v>
      </c>
      <c r="K592" s="104">
        <f t="shared" ref="K592:K598" si="48">SUM(H592:J592)</f>
        <v>285306.45999999996</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f>1673.51</f>
        <v>1673.51</v>
      </c>
      <c r="J595" s="18">
        <f>7280.37</f>
        <v>7280.37</v>
      </c>
      <c r="K595" s="104">
        <f t="shared" si="48"/>
        <v>8953.8799999999992</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f>39.41</f>
        <v>39.409999999999997</v>
      </c>
      <c r="I596" s="18">
        <f>92.8</f>
        <v>92.8</v>
      </c>
      <c r="J596" s="18">
        <f>19.17</f>
        <v>19.170000000000002</v>
      </c>
      <c r="K596" s="104">
        <f t="shared" si="48"/>
        <v>151.38</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f>2448.5</f>
        <v>2448.5</v>
      </c>
      <c r="I598" s="18">
        <f>302.62</f>
        <v>302.62</v>
      </c>
      <c r="J598" s="18"/>
      <c r="K598" s="104">
        <f t="shared" si="48"/>
        <v>2751.12</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187892.65</v>
      </c>
      <c r="I599" s="108">
        <f>SUM(I592:I598)</f>
        <v>61982.16</v>
      </c>
      <c r="J599" s="108">
        <f>SUM(J592:J598)</f>
        <v>47288.030000000006</v>
      </c>
      <c r="K599" s="108">
        <f>SUM(K592:K598)</f>
        <v>297162.83999999997</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47038.4+30609.63+12861.71+39621.49+1203.58+1789.24</f>
        <v>133124.04999999996</v>
      </c>
      <c r="I605" s="18">
        <f>22924.41+15854.84+20711.23+401.19+368.73</f>
        <v>60260.4</v>
      </c>
      <c r="J605" s="18">
        <f>30823.44+98904.86+29716.12+755.19+513.03+10268.46</f>
        <v>170981.1</v>
      </c>
      <c r="K605" s="104">
        <f>SUM(H605:J605)</f>
        <v>364365.54999999993</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133124.04999999996</v>
      </c>
      <c r="I606" s="108">
        <f>SUM(I603:I605)</f>
        <v>60260.4</v>
      </c>
      <c r="J606" s="108">
        <f>SUM(J603:J605)</f>
        <v>170981.1</v>
      </c>
      <c r="K606" s="108">
        <f>SUM(K603:K605)</f>
        <v>364365.54999999993</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0</v>
      </c>
      <c r="H618" s="109">
        <f>SUM(F52)</f>
        <v>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117801.49999999988</v>
      </c>
      <c r="H619" s="109">
        <f>SUM(G52)</f>
        <v>117801.49999999988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32557.48</v>
      </c>
      <c r="H620" s="109">
        <f>SUM(H52)</f>
        <v>32557.48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117801.49999999988</v>
      </c>
      <c r="H624" s="109">
        <f>G477</f>
        <v>117801.49999999988</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32557.48</v>
      </c>
      <c r="H625" s="109">
        <f>H477</f>
        <v>32557.479999999981</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17303461.82</v>
      </c>
      <c r="H628" s="104">
        <f>SUM(F469)</f>
        <v>17303461.82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696583.23</v>
      </c>
      <c r="H629" s="104">
        <f>SUM(G469)</f>
        <v>696583.23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2965103.5999999996</v>
      </c>
      <c r="H630" s="104">
        <f>SUM(H469)</f>
        <v>2965103.5999999996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17303461.82</v>
      </c>
      <c r="H633" s="104">
        <f>SUM(F473)</f>
        <v>17303461.82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2998198.8</v>
      </c>
      <c r="H634" s="104">
        <f>SUM(H473)</f>
        <v>2998198.8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259941.99000000002</v>
      </c>
      <c r="H635" s="104">
        <f>I370</f>
        <v>259941.99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608375.05000000005</v>
      </c>
      <c r="H636" s="104">
        <f>SUM(G473)</f>
        <v>608375.05000000005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297162.83999999997</v>
      </c>
      <c r="H648" s="104">
        <f>L209+L227+L245</f>
        <v>297162.83999999997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364365.54999999993</v>
      </c>
      <c r="H649" s="104">
        <f>(J258+J339)-(J256+J337)</f>
        <v>364365.55000000005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187892.65</v>
      </c>
      <c r="H650" s="104">
        <f>H599</f>
        <v>187892.65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61982.159999999996</v>
      </c>
      <c r="H651" s="104">
        <f>I599</f>
        <v>61982.16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47288.03</v>
      </c>
      <c r="H652" s="104">
        <f>J599</f>
        <v>47288.030000000006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9180472.8899999987</v>
      </c>
      <c r="G661" s="19">
        <f>(L230+L310+L360)</f>
        <v>4457832.16</v>
      </c>
      <c r="H661" s="19">
        <f>(L248+L329+L361)</f>
        <v>7242608.3300000001</v>
      </c>
      <c r="I661" s="19">
        <f>SUM(F661:H661)</f>
        <v>20880913.379999999</v>
      </c>
      <c r="J661" s="13"/>
      <c r="K661" s="13"/>
      <c r="L661" s="13"/>
      <c r="M661" s="9"/>
    </row>
    <row r="662" spans="1:13" s="3" customFormat="1" ht="12.2" customHeight="1" x14ac:dyDescent="0.2">
      <c r="A662" s="1" t="s">
        <v>127</v>
      </c>
      <c r="F662" s="19">
        <f>(L359/IF(SUM(L359:L361)=0,1,SUM(L359:L361))*(SUM(G97:G110)))</f>
        <v>9121.5597820821204</v>
      </c>
      <c r="G662" s="19">
        <f>(L360/IF(SUM(L359:L361)=0,1,SUM(L359:L361))*(SUM(G97:G110)))</f>
        <v>3611.3193021341026</v>
      </c>
      <c r="H662" s="19">
        <f>(L361/IF(SUM(L359:L361)=0,1,SUM(L359:L361))*(SUM(G97:G110)))</f>
        <v>4855.7409157837756</v>
      </c>
      <c r="I662" s="19">
        <f>SUM(F662:H662)</f>
        <v>17588.62</v>
      </c>
      <c r="J662"/>
      <c r="K662" s="13"/>
      <c r="L662" s="13"/>
      <c r="M662" s="8"/>
    </row>
    <row r="663" spans="1:13" s="3" customFormat="1" ht="12.2" customHeight="1" x14ac:dyDescent="0.2">
      <c r="A663" s="1" t="s">
        <v>128</v>
      </c>
      <c r="F663" s="19">
        <f>(L209+L288)-(J209+J288)</f>
        <v>183081.44999999998</v>
      </c>
      <c r="G663" s="19">
        <f>(L227+L307)-(J227+J307)</f>
        <v>59725.079999999994</v>
      </c>
      <c r="H663" s="19">
        <f>(L245+L326)-(J245+J326)</f>
        <v>45493.049999999996</v>
      </c>
      <c r="I663" s="19">
        <f>SUM(F663:H663)</f>
        <v>288299.57999999996</v>
      </c>
      <c r="J663"/>
      <c r="K663" s="13"/>
      <c r="L663" s="13"/>
      <c r="M663" s="9"/>
    </row>
    <row r="664" spans="1:13" s="3" customFormat="1" ht="12.2" customHeight="1" x14ac:dyDescent="0.15">
      <c r="A664" s="198" t="s">
        <v>129</v>
      </c>
      <c r="B664" s="169"/>
      <c r="C664" s="169"/>
      <c r="D664" s="169"/>
      <c r="E664" s="169"/>
      <c r="F664" s="199">
        <f>SUM(F576:F588)+SUM(H603:H605)+SUM(L612)</f>
        <v>293273.76999999996</v>
      </c>
      <c r="G664" s="199">
        <f>SUM(G576:G588)+SUM(I603:I605)+L613</f>
        <v>413467.66000000003</v>
      </c>
      <c r="H664" s="199">
        <f>SUM(H576:H588)+SUM(J603:J605)+L614</f>
        <v>516129.47</v>
      </c>
      <c r="I664" s="19">
        <f>SUM(F664:H664)</f>
        <v>1222870.8999999999</v>
      </c>
      <c r="J664" s="13"/>
      <c r="K664" s="13"/>
      <c r="L664" s="13"/>
      <c r="M664" s="9"/>
    </row>
    <row r="665" spans="1:13" s="3" customFormat="1" ht="12.2" customHeight="1" x14ac:dyDescent="0.15">
      <c r="A665" s="1" t="s">
        <v>130</v>
      </c>
      <c r="F665" s="19">
        <f>F661-SUM(F662:F664)</f>
        <v>8694996.1102179158</v>
      </c>
      <c r="G665" s="19">
        <f>G661-SUM(G662:G664)</f>
        <v>3981028.1006978662</v>
      </c>
      <c r="H665" s="19">
        <f>H661-SUM(H662:H664)</f>
        <v>6676130.0690842159</v>
      </c>
      <c r="I665" s="19">
        <f>I661-SUM(I662:I664)</f>
        <v>19352154.279999997</v>
      </c>
      <c r="J665" s="13"/>
      <c r="K665" s="13"/>
      <c r="L665" s="13"/>
      <c r="M665" s="8"/>
    </row>
    <row r="666" spans="1:13" s="3" customFormat="1" ht="12.2" customHeight="1" x14ac:dyDescent="0.25">
      <c r="A666" s="1" t="s">
        <v>131</v>
      </c>
      <c r="F666" s="360">
        <v>480.47</v>
      </c>
      <c r="G666" s="360">
        <v>241.43</v>
      </c>
      <c r="H666" s="360">
        <v>365</v>
      </c>
      <c r="I666" s="19">
        <f>SUM(F666:H666)</f>
        <v>1086.9000000000001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18096.86</v>
      </c>
      <c r="G668" s="19">
        <f>ROUND(G665/G666,2)</f>
        <v>16489.37</v>
      </c>
      <c r="H668" s="19">
        <f>ROUND(H665/H666,2)</f>
        <v>18290.77</v>
      </c>
      <c r="I668" s="19">
        <f>ROUND(I665/I666,2)</f>
        <v>17804.91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7.72</v>
      </c>
      <c r="I671" s="19">
        <f>SUM(F671:H671)</f>
        <v>7.72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18096.86</v>
      </c>
      <c r="G673" s="19">
        <f>ROUND((G665+G670)/(G666+G671),2)</f>
        <v>16489.37</v>
      </c>
      <c r="H673" s="19">
        <f>ROUND((H665+H670)/(H666+H671),2)</f>
        <v>17911.919999999998</v>
      </c>
      <c r="I673" s="19">
        <f>ROUND((I665+I670)/(I666+I671),2)</f>
        <v>17679.34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C1" zoomScaleNormal="100" workbookViewId="0">
      <selection activeCell="E22" sqref="E22"/>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879775.08000000007</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326479</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1512933.02</v>
      </c>
      <c r="F22" s="346"/>
    </row>
    <row r="23" spans="2:8" x14ac:dyDescent="0.25">
      <c r="B23" s="346"/>
      <c r="C23" s="346"/>
      <c r="D23" s="346"/>
      <c r="E23" s="346"/>
      <c r="F23" s="346"/>
    </row>
    <row r="24" spans="2:8" ht="26.25" customHeight="1" x14ac:dyDescent="0.25">
      <c r="B24" s="346"/>
      <c r="C24" s="348" t="s">
        <v>1661</v>
      </c>
      <c r="D24" s="346"/>
      <c r="E24" s="341">
        <v>1174146.8999999999</v>
      </c>
      <c r="F24" s="346"/>
    </row>
    <row r="25" spans="2:8" ht="18" x14ac:dyDescent="0.25">
      <c r="B25" s="346"/>
      <c r="C25" s="349"/>
      <c r="D25" s="346"/>
      <c r="E25" s="346"/>
      <c r="F25" s="346"/>
    </row>
    <row r="26" spans="2:8" ht="27.75" customHeight="1" x14ac:dyDescent="0.25">
      <c r="B26" s="346"/>
      <c r="C26" s="348" t="s">
        <v>1662</v>
      </c>
      <c r="D26" s="346"/>
      <c r="E26" s="341">
        <v>372196.15</v>
      </c>
      <c r="F26" s="346"/>
    </row>
    <row r="27" spans="2:8" x14ac:dyDescent="0.25">
      <c r="B27" s="346"/>
      <c r="C27" s="348"/>
      <c r="D27" s="346"/>
      <c r="E27" s="346"/>
      <c r="F27" s="346"/>
    </row>
    <row r="28" spans="2:8" ht="15.75" customHeight="1" x14ac:dyDescent="0.25">
      <c r="B28" s="346"/>
      <c r="C28" s="348" t="s">
        <v>1663</v>
      </c>
      <c r="D28" s="346"/>
      <c r="E28" s="342">
        <v>43827.67</v>
      </c>
      <c r="F28" s="346"/>
    </row>
    <row r="29" spans="2:8" x14ac:dyDescent="0.25">
      <c r="B29" s="346"/>
      <c r="C29" s="346"/>
      <c r="D29" s="346"/>
      <c r="E29" s="346"/>
      <c r="F29" s="346"/>
    </row>
    <row r="30" spans="2:8" ht="16.5" customHeight="1" x14ac:dyDescent="0.25">
      <c r="B30" s="346"/>
      <c r="C30" s="348" t="s">
        <v>1664</v>
      </c>
      <c r="D30" s="346"/>
      <c r="E30" s="341">
        <v>0</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3" t="str">
        <f>'DOE25'!A2</f>
        <v>Berlin</v>
      </c>
      <c r="C5" s="364"/>
      <c r="D5" s="364"/>
      <c r="E5" s="364"/>
      <c r="F5" s="364"/>
    </row>
    <row r="8" spans="1:9" ht="18" x14ac:dyDescent="0.25">
      <c r="A8" s="317" t="s">
        <v>1576</v>
      </c>
      <c r="F8" s="324" t="s">
        <v>1594</v>
      </c>
    </row>
    <row r="9" spans="1:9" ht="15" x14ac:dyDescent="0.2">
      <c r="A9" s="315" t="s">
        <v>1577</v>
      </c>
      <c r="B9" s="318">
        <f>'DOE25'!G97</f>
        <v>17588.62</v>
      </c>
      <c r="F9" s="315" t="s">
        <v>1590</v>
      </c>
    </row>
    <row r="10" spans="1:9" ht="15" x14ac:dyDescent="0.2">
      <c r="A10" s="315" t="s">
        <v>1578</v>
      </c>
      <c r="B10" s="318">
        <f>'DOE25'!G112-'DOE25'!G97</f>
        <v>0</v>
      </c>
      <c r="F10" s="315" t="s">
        <v>1591</v>
      </c>
    </row>
    <row r="11" spans="1:9" ht="15" x14ac:dyDescent="0.2">
      <c r="A11" s="315" t="s">
        <v>1579</v>
      </c>
      <c r="B11" s="318">
        <f>'DOE25'!G140</f>
        <v>12586.36</v>
      </c>
      <c r="F11" s="315" t="s">
        <v>1592</v>
      </c>
    </row>
    <row r="12" spans="1:9" ht="15" x14ac:dyDescent="0.2">
      <c r="A12" s="315" t="s">
        <v>1580</v>
      </c>
      <c r="B12" s="318">
        <f>'DOE25'!G170</f>
        <v>666408.25</v>
      </c>
      <c r="F12" s="315" t="s">
        <v>1593</v>
      </c>
    </row>
    <row r="13" spans="1:9" ht="15" x14ac:dyDescent="0.2">
      <c r="A13" s="315" t="s">
        <v>1581</v>
      </c>
      <c r="B13" s="318">
        <f>'DOE25'!G193-'DOE25'!G180</f>
        <v>0</v>
      </c>
      <c r="F13" s="315" t="s">
        <v>1603</v>
      </c>
    </row>
    <row r="14" spans="1:9" ht="18" x14ac:dyDescent="0.25">
      <c r="A14" s="317" t="s">
        <v>732</v>
      </c>
      <c r="B14" s="319">
        <f>SUM(B9:B13)</f>
        <v>696583.23</v>
      </c>
    </row>
    <row r="16" spans="1:9" ht="18" x14ac:dyDescent="0.25">
      <c r="A16" s="317" t="s">
        <v>786</v>
      </c>
      <c r="F16" s="324" t="s">
        <v>1595</v>
      </c>
    </row>
    <row r="17" spans="1:6" ht="15" x14ac:dyDescent="0.2">
      <c r="A17" s="315" t="s">
        <v>1582</v>
      </c>
      <c r="B17" s="318">
        <f>'DOE25'!L363-'DOE25'!L362</f>
        <v>608375.05000000005</v>
      </c>
      <c r="F17" s="315" t="s">
        <v>1596</v>
      </c>
    </row>
    <row r="18" spans="1:6" ht="15" x14ac:dyDescent="0.2">
      <c r="A18" s="315" t="s">
        <v>1583</v>
      </c>
      <c r="B18" s="328"/>
      <c r="F18" s="324" t="s">
        <v>1620</v>
      </c>
    </row>
    <row r="19" spans="1:6" ht="18" x14ac:dyDescent="0.25">
      <c r="A19" s="317" t="s">
        <v>725</v>
      </c>
      <c r="B19" s="319">
        <f>SUM(B17:B18)</f>
        <v>608375.05000000005</v>
      </c>
    </row>
    <row r="21" spans="1:6" ht="18.75" thickBot="1" x14ac:dyDescent="0.3">
      <c r="A21" s="317" t="s">
        <v>1584</v>
      </c>
    </row>
    <row r="22" spans="1:6" ht="18.75" thickTop="1" x14ac:dyDescent="0.25">
      <c r="A22" s="317" t="s">
        <v>1585</v>
      </c>
      <c r="B22" s="323">
        <f>B14-B19</f>
        <v>88208.179999999935</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29593.32</v>
      </c>
      <c r="F31" s="315" t="s">
        <v>1600</v>
      </c>
    </row>
    <row r="33" spans="1:6" ht="15" x14ac:dyDescent="0.2">
      <c r="A33" s="315" t="s">
        <v>1629</v>
      </c>
      <c r="B33" s="318">
        <f>'DOE25'!G477</f>
        <v>117801.49999999988</v>
      </c>
      <c r="F33" s="315" t="s">
        <v>1601</v>
      </c>
    </row>
    <row r="36" spans="1:6" ht="15" x14ac:dyDescent="0.2">
      <c r="A36" s="315" t="s">
        <v>1587</v>
      </c>
      <c r="B36" s="329">
        <v>39475.9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2"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Berlin</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5276897.2699999986</v>
      </c>
      <c r="C9" s="229">
        <f>'DOE25'!G198+'DOE25'!G216+'DOE25'!G234+'DOE25'!G277+'DOE25'!G296+'DOE25'!G315</f>
        <v>2375720.67</v>
      </c>
    </row>
    <row r="10" spans="1:3" x14ac:dyDescent="0.2">
      <c r="A10" t="s">
        <v>775</v>
      </c>
      <c r="B10" s="240">
        <f>4971945.33-56613.67</f>
        <v>4915331.66</v>
      </c>
      <c r="C10" s="240">
        <f>2374318.84-2.99</f>
        <v>2374315.8499999996</v>
      </c>
    </row>
    <row r="11" spans="1:3" x14ac:dyDescent="0.2">
      <c r="A11" t="s">
        <v>776</v>
      </c>
      <c r="B11" s="240">
        <v>139776.66</v>
      </c>
      <c r="C11" s="240">
        <v>800.56</v>
      </c>
    </row>
    <row r="12" spans="1:3" x14ac:dyDescent="0.2">
      <c r="A12" t="s">
        <v>777</v>
      </c>
      <c r="B12" s="240">
        <v>221788.95</v>
      </c>
      <c r="C12" s="240">
        <v>604.26</v>
      </c>
    </row>
    <row r="13" spans="1:3" x14ac:dyDescent="0.2">
      <c r="A13" t="str">
        <f>IF(B9=B13,IF(C9=C13,"Check Total OK","Check Total Error"),"Check Total Error")</f>
        <v>Check Total OK</v>
      </c>
      <c r="B13" s="231">
        <f>SUM(B10:B12)</f>
        <v>5276897.2700000005</v>
      </c>
      <c r="C13" s="231">
        <f>SUM(C10:C12)</f>
        <v>2375720.6699999995</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2350991.6300000004</v>
      </c>
      <c r="C18" s="229">
        <f>'DOE25'!G199+'DOE25'!G217+'DOE25'!G235+'DOE25'!G278+'DOE25'!G297+'DOE25'!G316</f>
        <v>825041.75</v>
      </c>
    </row>
    <row r="19" spans="1:3" x14ac:dyDescent="0.2">
      <c r="A19" t="s">
        <v>775</v>
      </c>
      <c r="B19" s="240">
        <f>1372738.5-10216</f>
        <v>1362522.5</v>
      </c>
      <c r="C19" s="240">
        <v>742707.17</v>
      </c>
    </row>
    <row r="20" spans="1:3" x14ac:dyDescent="0.2">
      <c r="A20" t="s">
        <v>776</v>
      </c>
      <c r="B20" s="240">
        <v>985542.57</v>
      </c>
      <c r="C20" s="240">
        <v>81867.59</v>
      </c>
    </row>
    <row r="21" spans="1:3" x14ac:dyDescent="0.2">
      <c r="A21" t="s">
        <v>777</v>
      </c>
      <c r="B21" s="240">
        <v>2926.56</v>
      </c>
      <c r="C21" s="240">
        <v>466.99</v>
      </c>
    </row>
    <row r="22" spans="1:3" x14ac:dyDescent="0.2">
      <c r="A22" t="str">
        <f>IF(B18=B22,IF(C18=C22,"Check Total OK","Check Total Error"),"Check Total Error")</f>
        <v>Check Total OK</v>
      </c>
      <c r="B22" s="231">
        <f>SUM(B19:B21)</f>
        <v>2350991.63</v>
      </c>
      <c r="C22" s="231">
        <f>SUM(C19:C21)</f>
        <v>825041.75</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492373.94</v>
      </c>
      <c r="C27" s="234">
        <f>'DOE25'!G200+'DOE25'!G218+'DOE25'!G236+'DOE25'!G279+'DOE25'!G298+'DOE25'!G317</f>
        <v>236923.77999999997</v>
      </c>
    </row>
    <row r="28" spans="1:3" x14ac:dyDescent="0.2">
      <c r="A28" t="s">
        <v>775</v>
      </c>
      <c r="B28" s="240">
        <v>473774.16</v>
      </c>
      <c r="C28" s="240">
        <v>235344.67</v>
      </c>
    </row>
    <row r="29" spans="1:3" x14ac:dyDescent="0.2">
      <c r="A29" t="s">
        <v>776</v>
      </c>
      <c r="B29" s="240">
        <v>18599.78</v>
      </c>
      <c r="C29" s="240">
        <v>1579.11</v>
      </c>
    </row>
    <row r="30" spans="1:3" x14ac:dyDescent="0.2">
      <c r="A30" t="s">
        <v>777</v>
      </c>
      <c r="B30" s="240"/>
      <c r="C30" s="240"/>
    </row>
    <row r="31" spans="1:3" x14ac:dyDescent="0.2">
      <c r="A31" t="str">
        <f>IF(B27=B31,IF(C27=C31,"Check Total OK","Check Total Error"),"Check Total Error")</f>
        <v>Check Total OK</v>
      </c>
      <c r="B31" s="231">
        <f>SUM(B28:B30)</f>
        <v>492373.93999999994</v>
      </c>
      <c r="C31" s="231">
        <f>SUM(C28:C30)</f>
        <v>236923.78</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378613.85</v>
      </c>
      <c r="C36" s="235">
        <f>'DOE25'!G201+'DOE25'!G219+'DOE25'!G237+'DOE25'!G280+'DOE25'!G299+'DOE25'!G318</f>
        <v>55605.47</v>
      </c>
    </row>
    <row r="37" spans="1:3" x14ac:dyDescent="0.2">
      <c r="A37" t="s">
        <v>775</v>
      </c>
      <c r="B37" s="240">
        <v>37953</v>
      </c>
      <c r="C37" s="240">
        <v>8779.17</v>
      </c>
    </row>
    <row r="38" spans="1:3" x14ac:dyDescent="0.2">
      <c r="A38" t="s">
        <v>776</v>
      </c>
      <c r="B38" s="240">
        <v>18241.439999999999</v>
      </c>
      <c r="C38" s="240">
        <v>1464.65</v>
      </c>
    </row>
    <row r="39" spans="1:3" x14ac:dyDescent="0.2">
      <c r="A39" t="s">
        <v>777</v>
      </c>
      <c r="B39" s="240">
        <v>322419.40999999997</v>
      </c>
      <c r="C39" s="240">
        <f>45361.66-0.01</f>
        <v>45361.65</v>
      </c>
    </row>
    <row r="40" spans="1:3" x14ac:dyDescent="0.2">
      <c r="A40" t="str">
        <f>IF(B36=B40,IF(C36=C40,"Check Total OK","Check Total Error"),"Check Total Error")</f>
        <v>Check Total OK</v>
      </c>
      <c r="B40" s="231">
        <f>SUM(B37:B39)</f>
        <v>378613.85</v>
      </c>
      <c r="C40" s="231">
        <f>SUM(C37:C39)</f>
        <v>55605.47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8" activePane="bottomLeft" state="frozen"/>
      <selection activeCell="F46" sqref="F46"/>
      <selection pane="bottomLeft" activeCell="B53" sqref="B53:H5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Berlin</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11769842.810000001</v>
      </c>
      <c r="D5" s="20">
        <f>SUM('DOE25'!L198:L201)+SUM('DOE25'!L216:L219)+SUM('DOE25'!L234:L237)-F5-G5-H5</f>
        <v>11524006.320000002</v>
      </c>
      <c r="E5" s="243"/>
      <c r="F5" s="244">
        <f>17175.93+14514.58+3000+3000</f>
        <v>37690.51</v>
      </c>
      <c r="G5" s="53">
        <f>SUM('DOE25'!J198:J201)+SUM('DOE25'!J216:J219)+SUM('DOE25'!J234:J237)</f>
        <v>192972.62</v>
      </c>
      <c r="H5" s="53">
        <f>SUM('DOE25'!K198:K201)+SUM('DOE25'!K216:K219)+SUM('DOE25'!K234:K237)</f>
        <v>15173.36</v>
      </c>
      <c r="I5" s="254"/>
    </row>
    <row r="6" spans="1:9" x14ac:dyDescent="0.2">
      <c r="A6" s="32">
        <v>2100</v>
      </c>
      <c r="B6" t="s">
        <v>796</v>
      </c>
      <c r="C6" s="273">
        <f t="shared" si="0"/>
        <v>1769740.61</v>
      </c>
      <c r="D6" s="20">
        <f>'DOE25'!L203+'DOE25'!L221+'DOE25'!L239-F6-G6-H6</f>
        <v>1733059.7300000002</v>
      </c>
      <c r="E6" s="243"/>
      <c r="F6" s="244">
        <f>10104.64+23000</f>
        <v>33104.639999999999</v>
      </c>
      <c r="G6" s="53">
        <f>'DOE25'!J203+'DOE25'!J221+'DOE25'!J239</f>
        <v>2515.29</v>
      </c>
      <c r="H6" s="53">
        <f>'DOE25'!K203+'DOE25'!K221+'DOE25'!K239</f>
        <v>1060.95</v>
      </c>
      <c r="I6" s="254"/>
    </row>
    <row r="7" spans="1:9" x14ac:dyDescent="0.2">
      <c r="A7" s="32">
        <v>2200</v>
      </c>
      <c r="B7" t="s">
        <v>821</v>
      </c>
      <c r="C7" s="273">
        <f t="shared" si="0"/>
        <v>234244.87</v>
      </c>
      <c r="D7" s="20">
        <f>'DOE25'!L204+'DOE25'!L222+'DOE25'!L240-F7-G7-H7</f>
        <v>233626.88</v>
      </c>
      <c r="E7" s="243"/>
      <c r="F7" s="244"/>
      <c r="G7" s="53">
        <f>'DOE25'!J204+'DOE25'!J222+'DOE25'!J240</f>
        <v>617.99</v>
      </c>
      <c r="H7" s="53">
        <f>'DOE25'!K204+'DOE25'!K222+'DOE25'!K240</f>
        <v>0</v>
      </c>
      <c r="I7" s="254"/>
    </row>
    <row r="8" spans="1:9" x14ac:dyDescent="0.2">
      <c r="A8" s="32">
        <v>2300</v>
      </c>
      <c r="B8" t="s">
        <v>797</v>
      </c>
      <c r="C8" s="273">
        <f t="shared" si="0"/>
        <v>321491.68</v>
      </c>
      <c r="D8" s="243"/>
      <c r="E8" s="20">
        <f>'DOE25'!L205+'DOE25'!L223+'DOE25'!L241-F8-G8-H8-D9-D11</f>
        <v>275850</v>
      </c>
      <c r="F8" s="244"/>
      <c r="G8" s="53">
        <f>'DOE25'!J205+'DOE25'!J223+'DOE25'!J241</f>
        <v>4196.47</v>
      </c>
      <c r="H8" s="53">
        <f>'DOE25'!K205+'DOE25'!K223+'DOE25'!K241</f>
        <v>41445.21</v>
      </c>
      <c r="I8" s="254"/>
    </row>
    <row r="9" spans="1:9" ht="14.25" x14ac:dyDescent="0.2">
      <c r="A9" s="32">
        <v>2310</v>
      </c>
      <c r="B9" s="185" t="s">
        <v>888</v>
      </c>
      <c r="C9" s="273">
        <f t="shared" si="0"/>
        <v>13996.31</v>
      </c>
      <c r="D9" s="244">
        <f>13996.31</f>
        <v>13996.31</v>
      </c>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247508.96</v>
      </c>
      <c r="D11" s="244">
        <f>247508.96</f>
        <v>247508.96</v>
      </c>
      <c r="E11" s="243"/>
      <c r="F11" s="251"/>
      <c r="G11" s="251"/>
      <c r="H11" s="251"/>
      <c r="I11" s="254"/>
    </row>
    <row r="12" spans="1:9" x14ac:dyDescent="0.2">
      <c r="A12" s="32">
        <v>2400</v>
      </c>
      <c r="B12" t="s">
        <v>711</v>
      </c>
      <c r="C12" s="273">
        <f t="shared" si="0"/>
        <v>855197.37999999989</v>
      </c>
      <c r="D12" s="20">
        <f>'DOE25'!L206+'DOE25'!L224+'DOE25'!L242-F12-G12-H12</f>
        <v>846438.42999999993</v>
      </c>
      <c r="E12" s="243"/>
      <c r="F12" s="244"/>
      <c r="G12" s="53">
        <f>'DOE25'!J206+'DOE25'!J224+'DOE25'!J242</f>
        <v>2087.9499999999998</v>
      </c>
      <c r="H12" s="53">
        <f>'DOE25'!K206+'DOE25'!K224+'DOE25'!K242</f>
        <v>6671</v>
      </c>
      <c r="I12" s="254"/>
    </row>
    <row r="13" spans="1:9" x14ac:dyDescent="0.2">
      <c r="A13" s="32">
        <v>2500</v>
      </c>
      <c r="B13" t="s">
        <v>798</v>
      </c>
      <c r="C13" s="273">
        <f t="shared" si="0"/>
        <v>227637.54</v>
      </c>
      <c r="D13" s="243"/>
      <c r="E13" s="20">
        <f>'DOE25'!L207+'DOE25'!L225+'DOE25'!L243-F13-G13-H13</f>
        <v>120007.20000000001</v>
      </c>
      <c r="F13" s="244">
        <f>104903</f>
        <v>104903</v>
      </c>
      <c r="G13" s="53">
        <f>'DOE25'!J207+'DOE25'!J225+'DOE25'!J243</f>
        <v>0</v>
      </c>
      <c r="H13" s="53">
        <f>'DOE25'!K207+'DOE25'!K225+'DOE25'!K243</f>
        <v>2727.34</v>
      </c>
      <c r="I13" s="254"/>
    </row>
    <row r="14" spans="1:9" x14ac:dyDescent="0.2">
      <c r="A14" s="32">
        <v>2600</v>
      </c>
      <c r="B14" t="s">
        <v>819</v>
      </c>
      <c r="C14" s="273">
        <f t="shared" si="0"/>
        <v>1533477.6</v>
      </c>
      <c r="D14" s="20">
        <f>'DOE25'!L208+'DOE25'!L226+'DOE25'!L244-F14-G14-H14</f>
        <v>1503111.7700000003</v>
      </c>
      <c r="E14" s="243"/>
      <c r="F14" s="244"/>
      <c r="G14" s="53">
        <f>'DOE25'!J208+'DOE25'!J226+'DOE25'!J244</f>
        <v>30331.910000000003</v>
      </c>
      <c r="H14" s="53">
        <f>'DOE25'!K208+'DOE25'!K226+'DOE25'!K244</f>
        <v>33.92</v>
      </c>
      <c r="I14" s="254"/>
    </row>
    <row r="15" spans="1:9" x14ac:dyDescent="0.2">
      <c r="A15" s="32">
        <v>2700</v>
      </c>
      <c r="B15" t="s">
        <v>799</v>
      </c>
      <c r="C15" s="273">
        <f t="shared" si="0"/>
        <v>297162.83999999997</v>
      </c>
      <c r="D15" s="20">
        <f>'DOE25'!L209+'DOE25'!L227+'DOE25'!L245-F15-G15-H15</f>
        <v>284029.57999999996</v>
      </c>
      <c r="E15" s="243"/>
      <c r="F15" s="244"/>
      <c r="G15" s="53">
        <f>'DOE25'!J209+'DOE25'!J227+'DOE25'!J245</f>
        <v>12821.259999999998</v>
      </c>
      <c r="H15" s="53">
        <f>'DOE25'!K209+'DOE25'!K227+'DOE25'!K245</f>
        <v>312</v>
      </c>
      <c r="I15" s="254"/>
    </row>
    <row r="16" spans="1:9" x14ac:dyDescent="0.2">
      <c r="A16" s="32">
        <v>2800</v>
      </c>
      <c r="B16" t="s">
        <v>800</v>
      </c>
      <c r="C16" s="273">
        <f t="shared" si="0"/>
        <v>4038.9299999999994</v>
      </c>
      <c r="D16" s="243"/>
      <c r="E16" s="20">
        <f>'DOE25'!L210+'DOE25'!L228+'DOE25'!L246-F16-G16-H16</f>
        <v>4038.9299999999994</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29122.29</v>
      </c>
      <c r="D25" s="243"/>
      <c r="E25" s="243"/>
      <c r="F25" s="253"/>
      <c r="G25" s="251"/>
      <c r="H25" s="251"/>
      <c r="I25" s="252">
        <f>'DOE25'!L261+'DOE25'!L262+'DOE25'!L342+'DOE25'!L343</f>
        <v>29122.29</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366932.67000000004</v>
      </c>
      <c r="D29" s="281">
        <f>'DOE25'!L359+'DOE25'!L360+'DOE25'!L361-'DOE25'!I368-F29-G29-H29</f>
        <v>362739.52</v>
      </c>
      <c r="E29" s="243"/>
      <c r="F29" s="244"/>
      <c r="G29" s="53">
        <f>'DOE25'!J359+'DOE25'!J360+'DOE25'!J361</f>
        <v>2585</v>
      </c>
      <c r="H29" s="53">
        <f>'DOE25'!K359+'DOE25'!K360+'DOE25'!K361</f>
        <v>1608.15</v>
      </c>
      <c r="I29" s="254"/>
    </row>
    <row r="30" spans="1:9" x14ac:dyDescent="0.2">
      <c r="A30" s="32"/>
      <c r="C30" s="274"/>
      <c r="D30" s="20"/>
      <c r="E30" s="278"/>
      <c r="F30" s="268"/>
      <c r="G30" s="53"/>
      <c r="H30" s="53"/>
      <c r="I30" s="254"/>
    </row>
    <row r="31" spans="1:9" x14ac:dyDescent="0.2">
      <c r="A31" s="32" t="s">
        <v>818</v>
      </c>
      <c r="B31" t="s">
        <v>817</v>
      </c>
      <c r="C31" s="273">
        <f>SUM(D31:I31)</f>
        <v>2998198.8</v>
      </c>
      <c r="D31" s="20">
        <f>'DOE25'!L291+'DOE25'!L310+'DOE25'!L329+'DOE25'!L334+'DOE25'!L335+'DOE25'!L336-F31-G31-H31</f>
        <v>2876511.61</v>
      </c>
      <c r="E31" s="243"/>
      <c r="F31" s="244"/>
      <c r="G31" s="53">
        <f>'DOE25'!J291+'DOE25'!J310+'DOE25'!J329+'DOE25'!J334+'DOE25'!J335+'DOE25'!J336</f>
        <v>118822.06</v>
      </c>
      <c r="H31" s="53">
        <f>'DOE25'!K291+'DOE25'!K310+'DOE25'!K329+'DOE25'!K334+'DOE25'!K335+'DOE25'!K336</f>
        <v>2865.13</v>
      </c>
      <c r="I31" s="254"/>
    </row>
    <row r="32" spans="1:9" ht="12" thickBot="1" x14ac:dyDescent="0.25">
      <c r="C32" s="274"/>
      <c r="G32" s="249"/>
      <c r="H32" s="249"/>
      <c r="I32" s="256"/>
    </row>
    <row r="33" spans="1:9" ht="12" thickTop="1" x14ac:dyDescent="0.2">
      <c r="B33" t="s">
        <v>809</v>
      </c>
      <c r="D33" s="245">
        <f t="shared" ref="D33:I33" si="1">SUM(D5:D31)</f>
        <v>19625029.110000003</v>
      </c>
      <c r="E33" s="245">
        <f t="shared" si="1"/>
        <v>399896.13</v>
      </c>
      <c r="F33" s="245">
        <f t="shared" si="1"/>
        <v>175698.15</v>
      </c>
      <c r="G33" s="245">
        <f t="shared" si="1"/>
        <v>366950.55000000005</v>
      </c>
      <c r="H33" s="245">
        <f t="shared" si="1"/>
        <v>71897.06</v>
      </c>
      <c r="I33" s="245">
        <f t="shared" si="1"/>
        <v>29122.29</v>
      </c>
    </row>
    <row r="35" spans="1:9" ht="12" thickBot="1" x14ac:dyDescent="0.25">
      <c r="B35" s="249" t="s">
        <v>831</v>
      </c>
      <c r="D35" s="250">
        <f>E33</f>
        <v>399896.13</v>
      </c>
      <c r="E35" s="246"/>
      <c r="F35" s="333" t="s">
        <v>1632</v>
      </c>
      <c r="G35" s="334"/>
      <c r="H35" s="334"/>
      <c r="I35" s="334"/>
    </row>
    <row r="36" spans="1:9" ht="12" thickTop="1" x14ac:dyDescent="0.2">
      <c r="B36" t="s">
        <v>810</v>
      </c>
      <c r="D36" s="20">
        <f>D33</f>
        <v>19625029.110000003</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H42" sqref="H4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Berlin</v>
      </c>
      <c r="B2" s="126">
        <f>'DOE25'!B2</f>
        <v>51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8864966.0799999982</v>
      </c>
      <c r="G4" s="300">
        <f>'DOE25'!L212+'DOE25'!L291</f>
        <v>8864966.0799999982</v>
      </c>
      <c r="H4" s="353">
        <f>F4-G4</f>
        <v>0</v>
      </c>
      <c r="I4" s="372" t="str">
        <f>IF(H4=0,"","ISSUES!! Please review page 7 and 11 totals in comparison with total on this page")</f>
        <v/>
      </c>
      <c r="N4"/>
    </row>
    <row r="5" spans="1:18" x14ac:dyDescent="0.2">
      <c r="A5" s="21" t="s">
        <v>1605</v>
      </c>
      <c r="B5" s="301">
        <f>IFERROR(VLOOKUP(A5,'School Tables'!$C$3:$D$365,2,FALSE),"")</f>
        <v>27035</v>
      </c>
      <c r="C5" s="294" t="str">
        <f>IFERROR(INDEX('School Tables'!$B$3:$B$365,MATCH('School Level Expenditures'!B5,'School Tables'!$D$3:$D$365,0)),"")</f>
        <v>Berlin</v>
      </c>
      <c r="D5" s="291">
        <v>6951456.2299999995</v>
      </c>
      <c r="E5" s="291">
        <v>1913509.8499999996</v>
      </c>
      <c r="F5" s="304">
        <f>D5+E5</f>
        <v>8864966.0799999982</v>
      </c>
      <c r="G5" s="294"/>
      <c r="H5" s="294"/>
      <c r="I5" s="373"/>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3"/>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6951456.2299999995</v>
      </c>
      <c r="E21" s="351">
        <f>SUM(E5:E20)</f>
        <v>1913509.8499999996</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4332919.7700000005</v>
      </c>
      <c r="G24" s="300">
        <f>'DOE25'!L230+'DOE25'!L310</f>
        <v>4332919.7700000005</v>
      </c>
      <c r="H24" s="353">
        <f>F24-G24</f>
        <v>0</v>
      </c>
      <c r="I24" s="372" t="str">
        <f>IF(H24=0,"","ISSUES!! Please review page 8 and 12 totals in comparison with total on this page")</f>
        <v/>
      </c>
      <c r="N24"/>
    </row>
    <row r="25" spans="1:14" x14ac:dyDescent="0.2">
      <c r="A25" s="21" t="s">
        <v>942</v>
      </c>
      <c r="B25" s="301">
        <f>IFERROR(VLOOKUP(A25,'School Tables'!$I$3:$J$80,2,FALSE),"")</f>
        <v>20045</v>
      </c>
      <c r="C25" s="294" t="str">
        <f t="array" ref="C25">IFERROR(INDEX('School Tables'!$H$3:$H$80,MATCH('School Level Expenditures'!B25,'School Tables'!$J$3:$J$80,0)),"")</f>
        <v>Berlin</v>
      </c>
      <c r="D25" s="291">
        <v>3916717.3500000006</v>
      </c>
      <c r="E25" s="291">
        <v>416202.41999999993</v>
      </c>
      <c r="F25" s="304">
        <f>D25+E25</f>
        <v>4332919.7700000005</v>
      </c>
      <c r="G25" s="294"/>
      <c r="H25" s="294"/>
      <c r="I25" s="373"/>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3916717.3500000006</v>
      </c>
      <c r="E33" s="351">
        <f>SUM(E25:E32)</f>
        <v>416202.41999999993</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7074652.4800000004</v>
      </c>
      <c r="G36" s="300">
        <f>'DOE25'!L248+'DOE25'!L329</f>
        <v>7074652.4800000004</v>
      </c>
      <c r="H36" s="353">
        <f>F36-G36</f>
        <v>0</v>
      </c>
      <c r="I36" s="372" t="str">
        <f>IF(H36=0,"","ISSUES!! Please review page 9 and 13 totals in comparison with total on this page")</f>
        <v/>
      </c>
      <c r="N36"/>
    </row>
    <row r="37" spans="1:14" ht="12" thickTop="1" x14ac:dyDescent="0.2">
      <c r="A37" s="21" t="s">
        <v>943</v>
      </c>
      <c r="B37" s="301">
        <f>IFERROR(VLOOKUP(A37,'School Tables'!$O$3:$P$118,2,FALSE),"")</f>
        <v>20050</v>
      </c>
      <c r="C37" s="294" t="str">
        <f t="array" ref="C37">IFERROR(INDEX('School Tables'!$N$3:$N$118,MATCH('School Level Expenditures'!B37,'School Tables'!$P$3:$P$118,0)),"")</f>
        <v>Berlin</v>
      </c>
      <c r="D37" s="359">
        <v>6406165.9500000002</v>
      </c>
      <c r="E37" s="291">
        <v>668486.53</v>
      </c>
      <c r="F37" s="304">
        <f t="shared" ref="F37:F42" si="2">D37+E37</f>
        <v>7074652.4800000004</v>
      </c>
      <c r="G37" s="294"/>
      <c r="H37" s="294"/>
      <c r="I37" s="373"/>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6406165.9500000002</v>
      </c>
      <c r="E43" s="352">
        <f>SUM(E37:E42)</f>
        <v>668486.53</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0"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Berlin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117801.49999999988</v>
      </c>
      <c r="E8" s="95">
        <f>'DOE25'!H9</f>
        <v>32557.48</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0</v>
      </c>
      <c r="D18" s="41">
        <f>SUM(D8:D17)</f>
        <v>117801.49999999988</v>
      </c>
      <c r="E18" s="41">
        <f>SUM(E8:E17)</f>
        <v>32557.48</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117801.49999999988</v>
      </c>
      <c r="E47" s="95">
        <f>'DOE25'!H48</f>
        <v>32557.48</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117801.49999999988</v>
      </c>
      <c r="E50" s="41">
        <f>SUM(E34:E49)</f>
        <v>32557.48</v>
      </c>
      <c r="F50" s="41">
        <f>SUM(F34:F49)</f>
        <v>0</v>
      </c>
      <c r="G50" s="41">
        <f>SUM(G34:G49)</f>
        <v>0</v>
      </c>
      <c r="H50" s="124"/>
      <c r="I50" s="124"/>
    </row>
    <row r="51" spans="1:9" ht="12" thickTop="1" x14ac:dyDescent="0.2">
      <c r="A51" s="38" t="s">
        <v>885</v>
      </c>
      <c r="B51" s="2"/>
      <c r="C51" s="41">
        <f>C50+C31</f>
        <v>0</v>
      </c>
      <c r="D51" s="41">
        <f>D50+D31</f>
        <v>117801.49999999988</v>
      </c>
      <c r="E51" s="41">
        <f>E50+E31</f>
        <v>32557.48</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2532411.8600000003</v>
      </c>
      <c r="D56" s="95">
        <f>'DOE25'!G60</f>
        <v>0</v>
      </c>
      <c r="E56" s="95">
        <f>'DOE25'!H60</f>
        <v>0</v>
      </c>
      <c r="F56" s="95">
        <f>'DOE25'!I60</f>
        <v>0</v>
      </c>
      <c r="G56" s="95">
        <f>'DOE25'!J60</f>
        <v>0</v>
      </c>
      <c r="H56"/>
      <c r="I56"/>
    </row>
    <row r="57" spans="1:9" x14ac:dyDescent="0.2">
      <c r="A57" s="1" t="s">
        <v>164</v>
      </c>
      <c r="B57" s="6" t="s">
        <v>165</v>
      </c>
      <c r="C57" s="95">
        <f>'DOE25'!F79</f>
        <v>1528664.5699999998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17588.62</v>
      </c>
      <c r="E60" s="24" t="s">
        <v>288</v>
      </c>
      <c r="F60" s="24" t="s">
        <v>288</v>
      </c>
      <c r="G60" s="24" t="s">
        <v>288</v>
      </c>
      <c r="H60"/>
      <c r="I60"/>
    </row>
    <row r="61" spans="1:9" ht="12" thickBot="1" x14ac:dyDescent="0.25">
      <c r="A61" s="1" t="s">
        <v>172</v>
      </c>
      <c r="B61" s="118" t="s">
        <v>173</v>
      </c>
      <c r="C61" s="95">
        <f>SUM('DOE25'!F98:F110)</f>
        <v>193508.44</v>
      </c>
      <c r="D61" s="95">
        <f>SUM('DOE25'!G98:G110)</f>
        <v>0</v>
      </c>
      <c r="E61" s="95">
        <f>SUM('DOE25'!H98:H110)</f>
        <v>62529.08</v>
      </c>
      <c r="F61" s="95">
        <f>SUM('DOE25'!I98:I110)</f>
        <v>0</v>
      </c>
      <c r="G61" s="95">
        <f>SUM('DOE25'!J98:J110)</f>
        <v>0</v>
      </c>
      <c r="H61"/>
      <c r="I61"/>
    </row>
    <row r="62" spans="1:9" ht="12.75" thickTop="1" thickBot="1" x14ac:dyDescent="0.25">
      <c r="A62" s="29" t="s">
        <v>174</v>
      </c>
      <c r="B62" s="6"/>
      <c r="C62" s="130">
        <f>SUM(C57:C61)</f>
        <v>1722173.0099999998</v>
      </c>
      <c r="D62" s="130">
        <f>SUM(D57:D61)</f>
        <v>17588.62</v>
      </c>
      <c r="E62" s="130">
        <f>SUM(E57:E61)</f>
        <v>62529.08</v>
      </c>
      <c r="F62" s="130">
        <f>SUM(F57:F61)</f>
        <v>0</v>
      </c>
      <c r="G62" s="130">
        <f>SUM(G57:G61)</f>
        <v>0</v>
      </c>
      <c r="H62"/>
      <c r="I62"/>
    </row>
    <row r="63" spans="1:9" ht="12" thickTop="1" x14ac:dyDescent="0.2">
      <c r="A63" s="29" t="s">
        <v>175</v>
      </c>
      <c r="B63" s="6"/>
      <c r="C63" s="22">
        <f>C56+C62</f>
        <v>4254584.87</v>
      </c>
      <c r="D63" s="22">
        <f>D56+D62</f>
        <v>17588.62</v>
      </c>
      <c r="E63" s="22">
        <f>E56+E62</f>
        <v>62529.08</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12071097.800000001</v>
      </c>
      <c r="D66" s="24" t="s">
        <v>288</v>
      </c>
      <c r="E66" s="24" t="s">
        <v>288</v>
      </c>
      <c r="F66" s="24" t="s">
        <v>288</v>
      </c>
      <c r="G66" s="24" t="s">
        <v>288</v>
      </c>
      <c r="H66"/>
      <c r="I66"/>
    </row>
    <row r="67" spans="1:9" x14ac:dyDescent="0.2">
      <c r="A67" s="1" t="s">
        <v>770</v>
      </c>
      <c r="B67" s="6">
        <v>3112</v>
      </c>
      <c r="C67" s="95">
        <f>'DOE25'!F118</f>
        <v>633911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243.81</v>
      </c>
      <c r="D69" s="95">
        <f>'DOE25'!G120</f>
        <v>0</v>
      </c>
      <c r="E69" s="95">
        <f>'DOE25'!H120</f>
        <v>0</v>
      </c>
      <c r="F69" s="95">
        <f>'DOE25'!I120</f>
        <v>0</v>
      </c>
      <c r="G69" s="95">
        <f>'DOE25'!J120</f>
        <v>0</v>
      </c>
      <c r="H69"/>
      <c r="I69"/>
    </row>
    <row r="70" spans="1:9" ht="12" thickTop="1" x14ac:dyDescent="0.2">
      <c r="A70" s="29" t="s">
        <v>252</v>
      </c>
      <c r="B70" s="2"/>
      <c r="C70" s="139">
        <f>SUM(C66:C69)</f>
        <v>12705252.610000001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77169.3</v>
      </c>
      <c r="D76" s="24" t="s">
        <v>288</v>
      </c>
      <c r="E76" s="95">
        <f>SUM('DOE25'!H127:H130)</f>
        <v>4304.51</v>
      </c>
      <c r="F76" s="95">
        <f>SUM('DOE25'!I127:I130)</f>
        <v>0</v>
      </c>
      <c r="G76" s="24" t="s">
        <v>288</v>
      </c>
      <c r="H76"/>
      <c r="I76"/>
    </row>
    <row r="77" spans="1:9" ht="12" thickBot="1" x14ac:dyDescent="0.25">
      <c r="A77" s="1" t="s">
        <v>258</v>
      </c>
      <c r="B77" s="6" t="s">
        <v>180</v>
      </c>
      <c r="C77" s="95">
        <f>SUM('DOE25'!F131:F135)</f>
        <v>0</v>
      </c>
      <c r="D77" s="95">
        <f>SUM('DOE25'!G131:G135)</f>
        <v>12586.36</v>
      </c>
      <c r="E77" s="95">
        <f>SUM('DOE25'!H131:H135)</f>
        <v>0</v>
      </c>
      <c r="F77" s="95">
        <f>SUM('DOE25'!I131:I135)</f>
        <v>0</v>
      </c>
      <c r="G77" s="95">
        <f>SUM('DOE25'!J131:J135)</f>
        <v>0</v>
      </c>
      <c r="H77"/>
      <c r="I77"/>
    </row>
    <row r="78" spans="1:9" ht="12.75" thickTop="1" thickBot="1" x14ac:dyDescent="0.25">
      <c r="A78" s="29" t="s">
        <v>259</v>
      </c>
      <c r="B78" s="6"/>
      <c r="C78" s="130">
        <f>SUM(C72:C77)</f>
        <v>77169.3</v>
      </c>
      <c r="D78" s="130">
        <f>SUM(D72:D77)</f>
        <v>12586.36</v>
      </c>
      <c r="E78" s="130">
        <f>SUM(E72:E77)</f>
        <v>4304.51</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12782421.910000002</v>
      </c>
      <c r="D81" s="130">
        <f>SUM(D79:D80)+D78+D70</f>
        <v>12586.36</v>
      </c>
      <c r="E81" s="130">
        <f>SUM(E79:E80)+E78+E70</f>
        <v>4304.51</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248214.56</v>
      </c>
      <c r="D88" s="331">
        <f>SUM('DOE25'!G153:G162)</f>
        <v>666408.25</v>
      </c>
      <c r="E88" s="331">
        <f>SUM('DOE25'!H153:H162)</f>
        <v>2883323.98</v>
      </c>
      <c r="F88" s="331">
        <f>SUM('DOE25'!I153:I162)</f>
        <v>0</v>
      </c>
      <c r="G88" s="24" t="s">
        <v>288</v>
      </c>
    </row>
    <row r="89" spans="1:9" x14ac:dyDescent="0.2">
      <c r="A89" t="s">
        <v>748</v>
      </c>
      <c r="B89" s="32" t="s">
        <v>185</v>
      </c>
      <c r="C89" s="95">
        <f>'DOE25'!F164+'DOE25'!F167+'DOE25'!F169</f>
        <v>0</v>
      </c>
      <c r="D89" s="95">
        <f>'DOE25'!G164+'DOE25'!G169</f>
        <v>0</v>
      </c>
      <c r="E89" s="95">
        <f>'DOE25'!H164+'DOE25'!H169</f>
        <v>14946.03</v>
      </c>
      <c r="F89" s="95">
        <f>'DOE25'!I164</f>
        <v>0</v>
      </c>
      <c r="G89" s="24" t="s">
        <v>288</v>
      </c>
    </row>
    <row r="90" spans="1:9" ht="12" thickBot="1" x14ac:dyDescent="0.25">
      <c r="A90" t="s">
        <v>749</v>
      </c>
      <c r="B90" s="32">
        <v>4810</v>
      </c>
      <c r="C90" s="95">
        <f>'DOE25'!F166</f>
        <v>18240.48</v>
      </c>
      <c r="D90" s="24" t="s">
        <v>288</v>
      </c>
      <c r="E90" s="24" t="s">
        <v>288</v>
      </c>
      <c r="F90" s="24" t="s">
        <v>288</v>
      </c>
      <c r="G90" s="24" t="s">
        <v>288</v>
      </c>
    </row>
    <row r="91" spans="1:9" ht="12.75" thickTop="1" thickBot="1" x14ac:dyDescent="0.25">
      <c r="A91" s="33" t="s">
        <v>750</v>
      </c>
      <c r="C91" s="131">
        <f>SUM(C85:C90)</f>
        <v>266455.03999999998</v>
      </c>
      <c r="D91" s="131">
        <f>SUM(D85:D90)</f>
        <v>666408.25</v>
      </c>
      <c r="E91" s="131">
        <f>SUM(E85:E90)</f>
        <v>2898270.01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17303461.82</v>
      </c>
      <c r="D104" s="86">
        <f>D63+D81+D91+D103</f>
        <v>696583.23</v>
      </c>
      <c r="E104" s="86">
        <f>E63+E81+E91+E103</f>
        <v>2965103.5999999996</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7416763.2599999998</v>
      </c>
      <c r="D109" s="24" t="s">
        <v>288</v>
      </c>
      <c r="E109" s="95">
        <f>('DOE25'!L277)+('DOE25'!L296)+('DOE25'!L315)</f>
        <v>1052881.1099999999</v>
      </c>
      <c r="F109" s="24" t="s">
        <v>288</v>
      </c>
      <c r="G109" s="24" t="s">
        <v>288</v>
      </c>
    </row>
    <row r="110" spans="1:7" x14ac:dyDescent="0.2">
      <c r="A110" t="s">
        <v>198</v>
      </c>
      <c r="B110" s="32" t="s">
        <v>199</v>
      </c>
      <c r="C110" s="95">
        <f>('DOE25'!L199)+('DOE25'!L217)+('DOE25'!L235)</f>
        <v>3184419.8400000003</v>
      </c>
      <c r="D110" s="24" t="s">
        <v>288</v>
      </c>
      <c r="E110" s="95">
        <f>('DOE25'!L278)+('DOE25'!L297)+('DOE25'!L316)</f>
        <v>1100143.5299999998</v>
      </c>
      <c r="F110" s="24" t="s">
        <v>288</v>
      </c>
      <c r="G110" s="24" t="s">
        <v>288</v>
      </c>
    </row>
    <row r="111" spans="1:7" x14ac:dyDescent="0.2">
      <c r="A111" t="s">
        <v>200</v>
      </c>
      <c r="B111" s="32" t="s">
        <v>165</v>
      </c>
      <c r="C111" s="95">
        <f>('DOE25'!L200)+('DOE25'!L218)+('DOE25'!L236)</f>
        <v>778266.48</v>
      </c>
      <c r="D111" s="24" t="s">
        <v>288</v>
      </c>
      <c r="E111" s="95">
        <f>('DOE25'!L279)+('DOE25'!L298)+('DOE25'!L317)</f>
        <v>63005.97</v>
      </c>
      <c r="F111" s="24" t="s">
        <v>288</v>
      </c>
      <c r="G111" s="24" t="s">
        <v>288</v>
      </c>
    </row>
    <row r="112" spans="1:7" x14ac:dyDescent="0.2">
      <c r="A112" t="s">
        <v>201</v>
      </c>
      <c r="B112" s="32" t="s">
        <v>167</v>
      </c>
      <c r="C112" s="95">
        <f>('DOE25'!L201)+('DOE25'!L219)+('DOE25'!L237)</f>
        <v>390393.23</v>
      </c>
      <c r="D112" s="24" t="s">
        <v>288</v>
      </c>
      <c r="E112" s="95">
        <f>+('DOE25'!L280)+('DOE25'!L299)+('DOE25'!L318)</f>
        <v>254687.75999999998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11769842.810000001</v>
      </c>
      <c r="D115" s="86">
        <f>SUM(D109:D114)</f>
        <v>0</v>
      </c>
      <c r="E115" s="86">
        <f>SUM(E109:E114)</f>
        <v>2470718.3699999996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1769740.61</v>
      </c>
      <c r="D118" s="24" t="s">
        <v>288</v>
      </c>
      <c r="E118" s="95">
        <f>+('DOE25'!L282)+('DOE25'!L301)+('DOE25'!L320)</f>
        <v>146986.87</v>
      </c>
      <c r="F118" s="24" t="s">
        <v>288</v>
      </c>
      <c r="G118" s="24" t="s">
        <v>288</v>
      </c>
    </row>
    <row r="119" spans="1:7" x14ac:dyDescent="0.2">
      <c r="A119" t="s">
        <v>208</v>
      </c>
      <c r="B119" s="32" t="s">
        <v>209</v>
      </c>
      <c r="C119" s="95">
        <f>('DOE25'!L204)+('DOE25'!L222)+('DOE25'!L240)</f>
        <v>234244.87</v>
      </c>
      <c r="D119" s="24" t="s">
        <v>288</v>
      </c>
      <c r="E119" s="95">
        <f>+('DOE25'!L283)+('DOE25'!L302)+('DOE25'!L321)</f>
        <v>55710.000000000007</v>
      </c>
      <c r="F119" s="24" t="s">
        <v>288</v>
      </c>
      <c r="G119" s="24" t="s">
        <v>288</v>
      </c>
    </row>
    <row r="120" spans="1:7" x14ac:dyDescent="0.2">
      <c r="A120" t="s">
        <v>210</v>
      </c>
      <c r="B120" s="32" t="s">
        <v>211</v>
      </c>
      <c r="C120" s="95">
        <f>('DOE25'!L205)+('DOE25'!L223)+('DOE25'!L241)</f>
        <v>582996.94999999995</v>
      </c>
      <c r="D120" s="24" t="s">
        <v>288</v>
      </c>
      <c r="E120" s="95">
        <f>+('DOE25'!L284)+('DOE25'!L303)+('DOE25'!L322)</f>
        <v>0</v>
      </c>
      <c r="F120" s="24" t="s">
        <v>288</v>
      </c>
      <c r="G120" s="24" t="s">
        <v>288</v>
      </c>
    </row>
    <row r="121" spans="1:7" x14ac:dyDescent="0.2">
      <c r="A121" t="s">
        <v>212</v>
      </c>
      <c r="B121" s="32" t="s">
        <v>213</v>
      </c>
      <c r="C121" s="95">
        <f>('DOE25'!L206)+('DOE25'!L224)+('DOE25'!L242)</f>
        <v>855197.37999999989</v>
      </c>
      <c r="D121" s="24" t="s">
        <v>288</v>
      </c>
      <c r="E121" s="95">
        <f>+('DOE25'!L285)+('DOE25'!L304)+('DOE25'!L323)</f>
        <v>0</v>
      </c>
      <c r="F121" s="24" t="s">
        <v>288</v>
      </c>
      <c r="G121" s="24" t="s">
        <v>288</v>
      </c>
    </row>
    <row r="122" spans="1:7" x14ac:dyDescent="0.2">
      <c r="A122" t="s">
        <v>214</v>
      </c>
      <c r="B122" s="32" t="s">
        <v>215</v>
      </c>
      <c r="C122" s="95">
        <f>('DOE25'!L207)+('DOE25'!L225)+('DOE25'!L243)</f>
        <v>227637.54</v>
      </c>
      <c r="D122" s="24" t="s">
        <v>288</v>
      </c>
      <c r="E122" s="95">
        <f>+('DOE25'!L286)+('DOE25'!L305)+('DOE25'!L324)</f>
        <v>0</v>
      </c>
      <c r="F122" s="24" t="s">
        <v>288</v>
      </c>
      <c r="G122" s="24" t="s">
        <v>288</v>
      </c>
    </row>
    <row r="123" spans="1:7" x14ac:dyDescent="0.2">
      <c r="A123" t="s">
        <v>216</v>
      </c>
      <c r="B123" s="32" t="s">
        <v>217</v>
      </c>
      <c r="C123" s="95">
        <f>('DOE25'!L208)+('DOE25'!L226)+('DOE25'!L244)</f>
        <v>1533477.6</v>
      </c>
      <c r="D123" s="24" t="s">
        <v>288</v>
      </c>
      <c r="E123" s="95">
        <f>+('DOE25'!L287)+('DOE25'!L306)+('DOE25'!L325)</f>
        <v>290340.56</v>
      </c>
      <c r="F123" s="24" t="s">
        <v>288</v>
      </c>
      <c r="G123" s="24" t="s">
        <v>288</v>
      </c>
    </row>
    <row r="124" spans="1:7" x14ac:dyDescent="0.2">
      <c r="A124" t="s">
        <v>218</v>
      </c>
      <c r="B124" s="32" t="s">
        <v>219</v>
      </c>
      <c r="C124" s="95">
        <f>('DOE25'!L209)+('DOE25'!L227)+('DOE25'!L245+'DOE25'!L255)</f>
        <v>297162.83999999997</v>
      </c>
      <c r="D124" s="24" t="s">
        <v>288</v>
      </c>
      <c r="E124" s="95">
        <f>+('DOE25'!L288)+('DOE25'!L307)+('DOE25'!L326)</f>
        <v>3958</v>
      </c>
      <c r="F124" s="24" t="s">
        <v>288</v>
      </c>
      <c r="G124" s="24" t="s">
        <v>288</v>
      </c>
    </row>
    <row r="125" spans="1:7" x14ac:dyDescent="0.2">
      <c r="A125" t="s">
        <v>220</v>
      </c>
      <c r="B125" s="32" t="s">
        <v>221</v>
      </c>
      <c r="C125" s="95">
        <f>('DOE25'!L210)+('DOE25'!L228)+('DOE25'!L246)</f>
        <v>4038.9299999999994</v>
      </c>
      <c r="D125" s="24" t="s">
        <v>288</v>
      </c>
      <c r="E125" s="95">
        <f>+('DOE25'!L289)+('DOE25'!L308)+('DOE25'!L327)</f>
        <v>30484.999999999996</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608375.05000000005</v>
      </c>
      <c r="E127" s="24" t="s">
        <v>288</v>
      </c>
      <c r="F127" s="24" t="s">
        <v>288</v>
      </c>
      <c r="G127" s="24" t="s">
        <v>288</v>
      </c>
    </row>
    <row r="128" spans="1:7" ht="12.75" thickTop="1" thickBot="1" x14ac:dyDescent="0.25">
      <c r="A128" s="33" t="s">
        <v>226</v>
      </c>
      <c r="C128" s="86">
        <f>SUM(C118:C127)</f>
        <v>5504496.7199999988</v>
      </c>
      <c r="D128" s="86">
        <f>SUM(D118:D127)</f>
        <v>608375.05000000005</v>
      </c>
      <c r="E128" s="86">
        <f>SUM(E118:E127)</f>
        <v>527480.42999999993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22244</v>
      </c>
      <c r="D131" s="24" t="s">
        <v>288</v>
      </c>
      <c r="E131" s="129">
        <f>'DOE25'!L342</f>
        <v>0</v>
      </c>
      <c r="F131" s="24" t="s">
        <v>288</v>
      </c>
      <c r="G131" s="24" t="s">
        <v>288</v>
      </c>
    </row>
    <row r="132" spans="1:7" x14ac:dyDescent="0.2">
      <c r="A132" t="s">
        <v>230</v>
      </c>
      <c r="B132" s="32">
        <v>5120</v>
      </c>
      <c r="C132" s="95">
        <f>'DOE25'!L262</f>
        <v>6878.29</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29122.29</v>
      </c>
      <c r="D144" s="141">
        <f>SUM(D130:D143)</f>
        <v>0</v>
      </c>
      <c r="E144" s="141">
        <f>SUM(E130:E143)</f>
        <v>0</v>
      </c>
      <c r="F144" s="141">
        <f>SUM(F130:F143)</f>
        <v>0</v>
      </c>
      <c r="G144" s="141">
        <f>SUM(G130:G143)</f>
        <v>0</v>
      </c>
    </row>
    <row r="145" spans="1:9" ht="12.75" thickTop="1" thickBot="1" x14ac:dyDescent="0.25">
      <c r="A145" s="33" t="s">
        <v>244</v>
      </c>
      <c r="C145" s="86">
        <f>(C115+C128+C144)</f>
        <v>17303461.82</v>
      </c>
      <c r="D145" s="86">
        <f>(D115+D128+D144)</f>
        <v>608375.05000000005</v>
      </c>
      <c r="E145" s="86">
        <f>(E115+E128+E144)</f>
        <v>2998198.8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29</v>
      </c>
      <c r="C151" s="153">
        <f>'DOE25'!G491</f>
        <v>0</v>
      </c>
      <c r="D151" s="153">
        <f>'DOE25'!H491</f>
        <v>0</v>
      </c>
      <c r="E151" s="153">
        <f>'DOE25'!I491</f>
        <v>0</v>
      </c>
      <c r="F151" s="153">
        <f>'DOE25'!J491</f>
        <v>0</v>
      </c>
      <c r="G151" s="24" t="s">
        <v>288</v>
      </c>
    </row>
    <row r="152" spans="1:9" x14ac:dyDescent="0.2">
      <c r="A152" s="136" t="s">
        <v>28</v>
      </c>
      <c r="B152" s="152" t="str">
        <f>'DOE25'!F492</f>
        <v>01/10</v>
      </c>
      <c r="C152" s="152">
        <f>'DOE25'!G492</f>
        <v>0</v>
      </c>
      <c r="D152" s="152">
        <f>'DOE25'!H492</f>
        <v>0</v>
      </c>
      <c r="E152" s="152">
        <f>'DOE25'!I492</f>
        <v>0</v>
      </c>
      <c r="F152" s="152">
        <f>'DOE25'!J492</f>
        <v>0</v>
      </c>
      <c r="G152" s="24" t="s">
        <v>288</v>
      </c>
    </row>
    <row r="153" spans="1:9" x14ac:dyDescent="0.2">
      <c r="A153" s="136" t="s">
        <v>29</v>
      </c>
      <c r="B153" s="152" t="str">
        <f>'DOE25'!F493</f>
        <v>8/25</v>
      </c>
      <c r="C153" s="152">
        <f>'DOE25'!G493</f>
        <v>0</v>
      </c>
      <c r="D153" s="152">
        <f>'DOE25'!H493</f>
        <v>0</v>
      </c>
      <c r="E153" s="152">
        <f>'DOE25'!I493</f>
        <v>0</v>
      </c>
      <c r="F153" s="152">
        <f>'DOE25'!J493</f>
        <v>0</v>
      </c>
      <c r="G153" s="24" t="s">
        <v>288</v>
      </c>
    </row>
    <row r="154" spans="1:9" x14ac:dyDescent="0.2">
      <c r="A154" s="136" t="s">
        <v>30</v>
      </c>
      <c r="B154" s="137">
        <f>'DOE25'!F494</f>
        <v>357204.63</v>
      </c>
      <c r="C154" s="137">
        <f>'DOE25'!G494</f>
        <v>0</v>
      </c>
      <c r="D154" s="137">
        <f>'DOE25'!H494</f>
        <v>0</v>
      </c>
      <c r="E154" s="137">
        <f>'DOE25'!I494</f>
        <v>0</v>
      </c>
      <c r="F154" s="137">
        <f>'DOE25'!J494</f>
        <v>0</v>
      </c>
      <c r="G154" s="24" t="s">
        <v>288</v>
      </c>
    </row>
    <row r="155" spans="1:9" x14ac:dyDescent="0.2">
      <c r="A155" s="136" t="s">
        <v>31</v>
      </c>
      <c r="B155" s="137">
        <f>'DOE25'!F495</f>
        <v>2.85</v>
      </c>
      <c r="C155" s="137">
        <f>'DOE25'!G495</f>
        <v>0</v>
      </c>
      <c r="D155" s="137">
        <f>'DOE25'!H495</f>
        <v>0</v>
      </c>
      <c r="E155" s="137">
        <f>'DOE25'!I495</f>
        <v>0</v>
      </c>
      <c r="F155" s="137">
        <f>'DOE25'!J495</f>
        <v>0</v>
      </c>
      <c r="G155" s="24" t="s">
        <v>288</v>
      </c>
    </row>
    <row r="156" spans="1:9" x14ac:dyDescent="0.2">
      <c r="A156" s="22" t="s">
        <v>32</v>
      </c>
      <c r="B156" s="137">
        <f>'DOE25'!F496</f>
        <v>152569.32999999999</v>
      </c>
      <c r="C156" s="137">
        <f>'DOE25'!G496</f>
        <v>0</v>
      </c>
      <c r="D156" s="137">
        <f>'DOE25'!H496</f>
        <v>0</v>
      </c>
      <c r="E156" s="137">
        <f>'DOE25'!I496</f>
        <v>0</v>
      </c>
      <c r="F156" s="137">
        <f>'DOE25'!J496</f>
        <v>0</v>
      </c>
      <c r="G156" s="138">
        <f>SUM(B156:F156)</f>
        <v>152569.32999999999</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22244</v>
      </c>
      <c r="C158" s="137">
        <f>'DOE25'!G498</f>
        <v>0</v>
      </c>
      <c r="D158" s="137">
        <f>'DOE25'!H498</f>
        <v>0</v>
      </c>
      <c r="E158" s="137">
        <f>'DOE25'!I498</f>
        <v>0</v>
      </c>
      <c r="F158" s="137">
        <f>'DOE25'!J498</f>
        <v>0</v>
      </c>
      <c r="G158" s="138">
        <f t="shared" si="0"/>
        <v>22244</v>
      </c>
    </row>
    <row r="159" spans="1:9" x14ac:dyDescent="0.2">
      <c r="A159" s="22" t="s">
        <v>35</v>
      </c>
      <c r="B159" s="137">
        <f>'DOE25'!F499</f>
        <v>130325.33</v>
      </c>
      <c r="C159" s="137">
        <f>'DOE25'!G499</f>
        <v>0</v>
      </c>
      <c r="D159" s="137">
        <f>'DOE25'!H499</f>
        <v>0</v>
      </c>
      <c r="E159" s="137">
        <f>'DOE25'!I499</f>
        <v>0</v>
      </c>
      <c r="F159" s="137">
        <f>'DOE25'!J499</f>
        <v>0</v>
      </c>
      <c r="G159" s="138">
        <f t="shared" si="0"/>
        <v>130325.33</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130325.33</v>
      </c>
      <c r="C161" s="137">
        <f>'DOE25'!G501</f>
        <v>0</v>
      </c>
      <c r="D161" s="137">
        <f>'DOE25'!H501</f>
        <v>0</v>
      </c>
      <c r="E161" s="137">
        <f>'DOE25'!I501</f>
        <v>0</v>
      </c>
      <c r="F161" s="137">
        <f>'DOE25'!J501</f>
        <v>0</v>
      </c>
      <c r="G161" s="138">
        <f t="shared" si="0"/>
        <v>130325.33</v>
      </c>
    </row>
    <row r="162" spans="1:7" x14ac:dyDescent="0.2">
      <c r="A162" s="22" t="s">
        <v>38</v>
      </c>
      <c r="B162" s="137">
        <f>'DOE25'!F502</f>
        <v>122788.93</v>
      </c>
      <c r="C162" s="137">
        <f>'DOE25'!G502</f>
        <v>0</v>
      </c>
      <c r="D162" s="137">
        <f>'DOE25'!H502</f>
        <v>0</v>
      </c>
      <c r="E162" s="137">
        <f>'DOE25'!I502</f>
        <v>0</v>
      </c>
      <c r="F162" s="137">
        <f>'DOE25'!J502</f>
        <v>0</v>
      </c>
      <c r="G162" s="138">
        <f t="shared" si="0"/>
        <v>122788.93</v>
      </c>
    </row>
    <row r="163" spans="1:7" x14ac:dyDescent="0.2">
      <c r="A163" s="22" t="s">
        <v>39</v>
      </c>
      <c r="B163" s="137">
        <f>'DOE25'!F503</f>
        <v>9658.5400000000009</v>
      </c>
      <c r="C163" s="137">
        <f>'DOE25'!G503</f>
        <v>0</v>
      </c>
      <c r="D163" s="137">
        <f>'DOE25'!H503</f>
        <v>0</v>
      </c>
      <c r="E163" s="137">
        <f>'DOE25'!I503</f>
        <v>0</v>
      </c>
      <c r="F163" s="137">
        <f>'DOE25'!J503</f>
        <v>0</v>
      </c>
      <c r="G163" s="138">
        <f t="shared" si="0"/>
        <v>9658.5400000000009</v>
      </c>
    </row>
    <row r="164" spans="1:7" x14ac:dyDescent="0.2">
      <c r="A164" s="22" t="s">
        <v>246</v>
      </c>
      <c r="B164" s="137">
        <f>'DOE25'!F504</f>
        <v>132447.47</v>
      </c>
      <c r="C164" s="137">
        <f>'DOE25'!G504</f>
        <v>0</v>
      </c>
      <c r="D164" s="137">
        <f>'DOE25'!H504</f>
        <v>0</v>
      </c>
      <c r="E164" s="137">
        <f>'DOE25'!I504</f>
        <v>0</v>
      </c>
      <c r="F164" s="137">
        <f>'DOE25'!J504</f>
        <v>0</v>
      </c>
      <c r="G164" s="138">
        <f t="shared" si="0"/>
        <v>132447.47</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39" sqref="C39"/>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Berlin</v>
      </c>
    </row>
    <row r="3" spans="1:4" x14ac:dyDescent="0.2">
      <c r="B3" s="188" t="s">
        <v>1666</v>
      </c>
    </row>
    <row r="4" spans="1:4" x14ac:dyDescent="0.2">
      <c r="B4" t="s">
        <v>61</v>
      </c>
      <c r="C4" s="179">
        <f>IF('DOE25'!F666+'DOE25'!F671=0,0,ROUND('DOE25'!F673,0))</f>
        <v>18097</v>
      </c>
    </row>
    <row r="5" spans="1:4" x14ac:dyDescent="0.2">
      <c r="B5" t="s">
        <v>700</v>
      </c>
      <c r="C5" s="179">
        <f>IF('DOE25'!G666+'DOE25'!G671=0,0,ROUND('DOE25'!G673,0))</f>
        <v>16489</v>
      </c>
    </row>
    <row r="6" spans="1:4" x14ac:dyDescent="0.2">
      <c r="B6" t="s">
        <v>62</v>
      </c>
      <c r="C6" s="179">
        <f>IF('DOE25'!H666+'DOE25'!H671=0,0,ROUND('DOE25'!H673,0))</f>
        <v>17912</v>
      </c>
    </row>
    <row r="7" spans="1:4" x14ac:dyDescent="0.2">
      <c r="B7" t="s">
        <v>701</v>
      </c>
      <c r="C7" s="179">
        <f>IF('DOE25'!I666+'DOE25'!I671=0,0,ROUND('DOE25'!I673,0))</f>
        <v>17679</v>
      </c>
    </row>
    <row r="9" spans="1:4" x14ac:dyDescent="0.2">
      <c r="A9" s="187" t="s">
        <v>94</v>
      </c>
      <c r="B9" s="188" t="s">
        <v>1671</v>
      </c>
      <c r="C9" s="181" t="s">
        <v>720</v>
      </c>
      <c r="D9" s="181" t="s">
        <v>721</v>
      </c>
    </row>
    <row r="10" spans="1:4" x14ac:dyDescent="0.2">
      <c r="A10">
        <v>1100</v>
      </c>
      <c r="B10" t="s">
        <v>702</v>
      </c>
      <c r="C10" s="179">
        <f>ROUND('DOE25'!L198+'DOE25'!L216+'DOE25'!L234+'DOE25'!L277+'DOE25'!L296+'DOE25'!L315,0)</f>
        <v>8469644</v>
      </c>
      <c r="D10" s="182">
        <f>ROUND((C10/$C$28)*100,1)</f>
        <v>40.6</v>
      </c>
    </row>
    <row r="11" spans="1:4" x14ac:dyDescent="0.2">
      <c r="A11">
        <v>1200</v>
      </c>
      <c r="B11" t="s">
        <v>703</v>
      </c>
      <c r="C11" s="179">
        <f>ROUND('DOE25'!L199+'DOE25'!L217+'DOE25'!L235+'DOE25'!L278+'DOE25'!L297+'DOE25'!L316,0)</f>
        <v>4284563</v>
      </c>
      <c r="D11" s="182">
        <f>ROUND((C11/$C$28)*100,1)</f>
        <v>20.5</v>
      </c>
    </row>
    <row r="12" spans="1:4" x14ac:dyDescent="0.2">
      <c r="A12">
        <v>1300</v>
      </c>
      <c r="B12" t="s">
        <v>704</v>
      </c>
      <c r="C12" s="179">
        <f>ROUND('DOE25'!L200+'DOE25'!L218+'DOE25'!L236+'DOE25'!L279+'DOE25'!L298+'DOE25'!L317,0)</f>
        <v>841272</v>
      </c>
      <c r="D12" s="182">
        <f>ROUND((C12/$C$28)*100,1)</f>
        <v>4</v>
      </c>
    </row>
    <row r="13" spans="1:4" x14ac:dyDescent="0.2">
      <c r="A13">
        <v>1400</v>
      </c>
      <c r="B13" t="s">
        <v>705</v>
      </c>
      <c r="C13" s="179">
        <f>ROUND('DOE25'!L201+'DOE25'!L219+'DOE25'!L237+'DOE25'!L280+'DOE25'!L299+'DOE25'!L318,0)</f>
        <v>645081</v>
      </c>
      <c r="D13" s="182">
        <f>ROUND((C13/$C$28)*100,1)</f>
        <v>3.1</v>
      </c>
    </row>
    <row r="14" spans="1:4" x14ac:dyDescent="0.2">
      <c r="D14" s="182"/>
    </row>
    <row r="15" spans="1:4" x14ac:dyDescent="0.2">
      <c r="A15">
        <v>2100</v>
      </c>
      <c r="B15" t="s">
        <v>706</v>
      </c>
      <c r="C15" s="179">
        <f>ROUND('DOE25'!L203+'DOE25'!L221+'DOE25'!L239+'DOE25'!L282+'DOE25'!L301+'DOE25'!L320,0)</f>
        <v>1916727</v>
      </c>
      <c r="D15" s="182">
        <f t="shared" ref="D15:D27" si="0">ROUND((C15/$C$28)*100,1)</f>
        <v>9.1999999999999993</v>
      </c>
    </row>
    <row r="16" spans="1:4" x14ac:dyDescent="0.2">
      <c r="A16">
        <v>2200</v>
      </c>
      <c r="B16" t="s">
        <v>707</v>
      </c>
      <c r="C16" s="179">
        <f>ROUND('DOE25'!L204+'DOE25'!L222+'DOE25'!L240+'DOE25'!L283+'DOE25'!L302+'DOE25'!L321,0)</f>
        <v>289955</v>
      </c>
      <c r="D16" s="182">
        <f t="shared" si="0"/>
        <v>1.4</v>
      </c>
    </row>
    <row r="17" spans="1:4" x14ac:dyDescent="0.2">
      <c r="A17" s="183" t="s">
        <v>723</v>
      </c>
      <c r="B17" t="s">
        <v>738</v>
      </c>
      <c r="C17" s="179">
        <f>ROUND('DOE25'!L205+'DOE25'!L210+'DOE25'!L223+'DOE25'!L228+'DOE25'!L241+'DOE25'!L246+'DOE25'!L284+'DOE25'!L289+'DOE25'!L303+'DOE25'!L308+'DOE25'!L322+'DOE25'!L327,0)</f>
        <v>617521</v>
      </c>
      <c r="D17" s="182">
        <f t="shared" si="0"/>
        <v>3</v>
      </c>
    </row>
    <row r="18" spans="1:4" x14ac:dyDescent="0.2">
      <c r="A18">
        <v>2400</v>
      </c>
      <c r="B18" t="s">
        <v>711</v>
      </c>
      <c r="C18" s="179">
        <f>ROUND('DOE25'!L206+'DOE25'!L224+'DOE25'!L242+'DOE25'!L285+'DOE25'!L304+'DOE25'!L323,0)</f>
        <v>855197</v>
      </c>
      <c r="D18" s="182">
        <f t="shared" si="0"/>
        <v>4.0999999999999996</v>
      </c>
    </row>
    <row r="19" spans="1:4" x14ac:dyDescent="0.2">
      <c r="A19">
        <v>2500</v>
      </c>
      <c r="B19" t="s">
        <v>708</v>
      </c>
      <c r="C19" s="179">
        <f>ROUND('DOE25'!L207+'DOE25'!L225+'DOE25'!L243+'DOE25'!L286+'DOE25'!L305+'DOE25'!L324,0)</f>
        <v>227638</v>
      </c>
      <c r="D19" s="182">
        <f t="shared" si="0"/>
        <v>1.1000000000000001</v>
      </c>
    </row>
    <row r="20" spans="1:4" x14ac:dyDescent="0.2">
      <c r="A20">
        <v>2600</v>
      </c>
      <c r="B20" t="s">
        <v>709</v>
      </c>
      <c r="C20" s="179">
        <f>ROUND('DOE25'!L208+'DOE25'!L226+'DOE25'!L244+'DOE25'!L287+'DOE25'!L306+'DOE25'!L325,0)</f>
        <v>1823818</v>
      </c>
      <c r="D20" s="182">
        <f t="shared" si="0"/>
        <v>8.6999999999999993</v>
      </c>
    </row>
    <row r="21" spans="1:4" x14ac:dyDescent="0.2">
      <c r="A21">
        <v>2700</v>
      </c>
      <c r="B21" t="s">
        <v>710</v>
      </c>
      <c r="C21" s="179">
        <f>ROUND('DOE25'!L209+'DOE25'!L227+'DOE25'!L245+'DOE25'!L288+'DOE25'!L307+'DOE25'!L326,0)</f>
        <v>301121</v>
      </c>
      <c r="D21" s="182">
        <f t="shared" si="0"/>
        <v>1.4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6878</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590786.38</v>
      </c>
      <c r="D27" s="182">
        <f t="shared" si="0"/>
        <v>2.8</v>
      </c>
    </row>
    <row r="28" spans="1:4" x14ac:dyDescent="0.2">
      <c r="B28" s="187" t="s">
        <v>719</v>
      </c>
      <c r="C28" s="180">
        <f>SUM(C10:C27)</f>
        <v>20870201.379999999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20870201.379999999</v>
      </c>
    </row>
    <row r="31" spans="1:4" x14ac:dyDescent="0.2">
      <c r="B31" s="33"/>
      <c r="C31" s="180"/>
    </row>
    <row r="32" spans="1:4" x14ac:dyDescent="0.2">
      <c r="A32">
        <v>5100</v>
      </c>
      <c r="B32" s="33" t="s">
        <v>726</v>
      </c>
      <c r="C32" s="180">
        <f>ROUND('DOE25'!L261+'DOE25'!L342,0)</f>
        <v>22244</v>
      </c>
    </row>
    <row r="34" spans="1:4" x14ac:dyDescent="0.2">
      <c r="A34" s="187" t="s">
        <v>94</v>
      </c>
      <c r="B34" s="188" t="s">
        <v>1667</v>
      </c>
      <c r="C34" s="181" t="s">
        <v>720</v>
      </c>
      <c r="D34" s="181" t="s">
        <v>721</v>
      </c>
    </row>
    <row r="35" spans="1:4" x14ac:dyDescent="0.2">
      <c r="A35">
        <v>1100</v>
      </c>
      <c r="B35" s="185" t="s">
        <v>727</v>
      </c>
      <c r="C35" s="179">
        <f>ROUND('DOE25'!F60+'DOE25'!G60+'DOE25'!H60+'DOE25'!I60+'DOE25'!J60,0)</f>
        <v>2532412</v>
      </c>
      <c r="D35" s="182">
        <f t="shared" ref="D35:D40" si="1">ROUND((C35/$C$41)*100,1)</f>
        <v>12.1</v>
      </c>
    </row>
    <row r="36" spans="1:4" x14ac:dyDescent="0.2">
      <c r="B36" s="185" t="s">
        <v>739</v>
      </c>
      <c r="C36" s="179">
        <f>SUM('DOE25'!F112:J112)-SUM('DOE25'!G97:G110)+('DOE25'!F175+'DOE25'!F176+'DOE25'!I175+'DOE25'!I176)-C35</f>
        <v>1784701.9500000002</v>
      </c>
      <c r="D36" s="182">
        <f t="shared" si="1"/>
        <v>8.5</v>
      </c>
    </row>
    <row r="37" spans="1:4" x14ac:dyDescent="0.2">
      <c r="A37" s="183" t="s">
        <v>835</v>
      </c>
      <c r="B37" s="185" t="s">
        <v>728</v>
      </c>
      <c r="C37" s="179">
        <f>ROUND('DOE25'!F117+'DOE25'!F118,0)</f>
        <v>12705009</v>
      </c>
      <c r="D37" s="182">
        <f t="shared" si="1"/>
        <v>60.7</v>
      </c>
    </row>
    <row r="38" spans="1:4" x14ac:dyDescent="0.2">
      <c r="A38" s="183" t="s">
        <v>734</v>
      </c>
      <c r="B38" s="185" t="s">
        <v>729</v>
      </c>
      <c r="C38" s="179">
        <f>ROUND(SUM('DOE25'!F140:J140)-SUM('DOE25'!F117:F119),0)</f>
        <v>94304</v>
      </c>
      <c r="D38" s="182">
        <f t="shared" si="1"/>
        <v>0.5</v>
      </c>
    </row>
    <row r="39" spans="1:4" x14ac:dyDescent="0.2">
      <c r="A39">
        <v>4000</v>
      </c>
      <c r="B39" s="185" t="s">
        <v>730</v>
      </c>
      <c r="C39" s="179">
        <f>ROUND('DOE25'!F170+'DOE25'!G170+'DOE25'!H170+'DOE25'!I170,0)</f>
        <v>3831133</v>
      </c>
      <c r="D39" s="182">
        <f t="shared" si="1"/>
        <v>18.3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20947559.949999999</v>
      </c>
      <c r="D41" s="184">
        <f>SUM(D35:D40)</f>
        <v>100.10000000000001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7" sqref="A7"/>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Berlin</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t="s">
        <v>1672</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t="s">
        <v>1674</v>
      </c>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v>2</v>
      </c>
      <c r="B6" s="219">
        <v>1</v>
      </c>
      <c r="C6" s="376" t="s">
        <v>1673</v>
      </c>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2021-08-31T16:49:32Z</cp:lastPrinted>
  <dcterms:created xsi:type="dcterms:W3CDTF">1997-12-04T19:04:30Z</dcterms:created>
  <dcterms:modified xsi:type="dcterms:W3CDTF">2021-12-14T17:12:29Z</dcterms:modified>
</cp:coreProperties>
</file>