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J112" i="1" s="1"/>
  <c r="F121" i="1"/>
  <c r="F136" i="1"/>
  <c r="G121" i="1"/>
  <c r="G136" i="1"/>
  <c r="H121" i="1"/>
  <c r="H136" i="1"/>
  <c r="I121" i="1"/>
  <c r="I136" i="1"/>
  <c r="J121" i="1"/>
  <c r="J136" i="1"/>
  <c r="F147" i="1"/>
  <c r="F170" i="1"/>
  <c r="G147" i="1"/>
  <c r="D85" i="2" s="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I409" i="1" s="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G652" i="1"/>
  <c r="J652" i="1" s="1"/>
  <c r="G653" i="1"/>
  <c r="H653" i="1"/>
  <c r="G654" i="1"/>
  <c r="H654" i="1"/>
  <c r="G655" i="1"/>
  <c r="H655" i="1"/>
  <c r="H656" i="1"/>
  <c r="J656" i="1" s="1"/>
  <c r="I170" i="1"/>
  <c r="J572" i="1" l="1"/>
  <c r="H477" i="1"/>
  <c r="H625" i="1" s="1"/>
  <c r="D18" i="13"/>
  <c r="C18" i="13" s="1"/>
  <c r="I112" i="1"/>
  <c r="J140" i="1"/>
  <c r="A40" i="12"/>
  <c r="E119" i="2"/>
  <c r="C121" i="2"/>
  <c r="D6" i="13"/>
  <c r="C6" i="13" s="1"/>
  <c r="E13" i="13"/>
  <c r="C13" i="13" s="1"/>
  <c r="J258" i="1"/>
  <c r="H649" i="1" s="1"/>
  <c r="K339" i="1"/>
  <c r="K353" i="1" s="1"/>
  <c r="C112" i="2"/>
  <c r="D50" i="2"/>
  <c r="H140" i="1"/>
  <c r="E110" i="2"/>
  <c r="C110" i="2"/>
  <c r="E125" i="2"/>
  <c r="G553" i="1"/>
  <c r="H409" i="1"/>
  <c r="H645" i="1" s="1"/>
  <c r="J645" i="1" s="1"/>
  <c r="E123" i="2"/>
  <c r="H663" i="1"/>
  <c r="D15" i="13"/>
  <c r="C15" i="13" s="1"/>
  <c r="C120" i="2"/>
  <c r="G646"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J272" i="1"/>
  <c r="H194" i="1"/>
  <c r="G630" i="1" s="1"/>
  <c r="J630" i="1" s="1"/>
  <c r="F661" i="1"/>
  <c r="C141" i="2"/>
  <c r="C144" i="2" s="1"/>
  <c r="I663" i="1"/>
  <c r="H661" i="1"/>
  <c r="H665" i="1" s="1"/>
  <c r="H668" i="1" s="1"/>
  <c r="C81" i="2"/>
  <c r="F194" i="1"/>
  <c r="G628" i="1" s="1"/>
  <c r="J628" i="1" s="1"/>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<sst xmlns="http://schemas.openxmlformats.org/spreadsheetml/2006/main" count="5576" uniqueCount="1677">
  <si>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</si>
  <si>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</si>
  <si>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</si>
  <si>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</si>
  <si>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</si>
  <si>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</si>
  <si>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</si>
  <si>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</si>
  <si>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</si>
  <si>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</si>
  <si>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</si>
  <si>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</si>
  <si>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</si>
  <si>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</si>
  <si>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</si>
  <si>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</si>
  <si>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</si>
  <si>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</si>
  <si>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</si>
  <si>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</si>
  <si>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</si>
  <si>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</si>
  <si>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</si>
  <si>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</si>
  <si>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</si>
  <si>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</si>
  <si>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</si>
  <si>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</si>
  <si>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</si>
  <si>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</si>
  <si>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</si>
  <si>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</si>
  <si>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</si>
  <si>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</si>
  <si>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</si>
  <si>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</si>
  <si>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</si>
  <si>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</si>
  <si>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</si>
  <si>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</si>
  <si>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</si>
  <si>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</si>
  <si>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</si>
  <si>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</si>
  <si>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</si>
  <si>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</si>
  <si>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</si>
  <si>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</si>
  <si>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</si>
  <si>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</si>
  <si>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</si>
  <si>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</si>
  <si>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</si>
  <si>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</si>
  <si>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</si>
  <si>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</si>
  <si>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</si>
  <si>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</si>
  <si>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</si>
  <si>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</si>
  <si>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</si>
  <si>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</si>
  <si>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</si>
  <si>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</si>
  <si>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</si>
  <si>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</si>
  <si>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</si>
  <si>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</si>
  <si>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</si>
  <si>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</si>
  <si>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</si>
  <si>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</si>
  <si>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</si>
  <si>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</si>
  <si>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</si>
  <si>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</si>
  <si>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</si>
  <si>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</si>
  <si>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</si>
  <si>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</si>
  <si>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</si>
  <si>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</si>
  <si>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</si>
  <si>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</si>
  <si>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</si>
  <si>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</si>
  <si>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</si>
  <si>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</si>
  <si>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</si>
  <si>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</si>
  <si>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</si>
  <si>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</si>
  <si>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</si>
  <si>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</si>
  <si>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</si>
  <si>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</si>
  <si>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</si>
  <si>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</si>
  <si>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</si>
  <si>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</si>
  <si>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</si>
  <si>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</si>
  <si>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</si>
  <si>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</si>
  <si>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</si>
  <si>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</si>
  <si>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</si>
  <si>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</si>
  <si>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</si>
  <si>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</si>
  <si>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</si>
  <si>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</si>
  <si>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</si>
  <si>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</si>
  <si>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</si>
  <si>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</si>
  <si>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</si>
  <si>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</si>
  <si>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</si>
  <si>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</si>
  <si>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</si>
  <si>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</si>
  <si>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</si>
  <si>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</si>
  <si>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</si>
  <si>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</si>
  <si>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</si>
  <si>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</si>
  <si>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</si>
  <si>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</si>
  <si>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</si>
  <si>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</si>
  <si>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</si>
  <si>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</si>
  <si>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</si>
  <si>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</si>
  <si>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</si>
  <si>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</si>
  <si>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</si>
  <si>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</si>
  <si>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</si>
  <si>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</si>
  <si>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</si>
  <si>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</si>
  <si>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</si>
  <si>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</si>
  <si>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</si>
  <si>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</si>
  <si>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</si>
  <si>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</si>
  <si>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</si>
  <si>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</si>
  <si>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</si>
  <si>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</si>
  <si>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</si>
  <si>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</si>
  <si>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</si>
  <si>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</si>
  <si>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</si>
  <si>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</si>
  <si>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</si>
  <si>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</si>
  <si>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</si>
  <si>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</si>
  <si>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</si>
  <si>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</si>
  <si>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</si>
  <si>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</si>
  <si>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</si>
  <si>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</si>
  <si>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</si>
  <si>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</si>
  <si>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</si>
  <si>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</si>
  <si>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</si>
  <si>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</si>
  <si>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</si>
  <si>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</si>
  <si>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</si>
  <si>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</si>
  <si>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</si>
  <si>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</si>
  <si>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</si>
  <si>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</si>
  <si>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</si>
  <si>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</si>
  <si>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</si>
  <si>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</si>
  <si>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</si>
  <si>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</si>
  <si>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</si>
  <si>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</si>
  <si>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</si>
  <si>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</si>
  <si>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</si>
  <si>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</si>
  <si>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</si>
  <si>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</si>
  <si>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</si>
  <si>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</si>
  <si>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</si>
  <si>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</si>
  <si>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</si>
  <si>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</si>
  <si>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</si>
  <si>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</si>
  <si>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</si>
  <si>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</si>
  <si>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</si>
  <si>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</si>
  <si>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</si>
  <si>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</si>
  <si>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</si>
  <si>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</si>
  <si>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</si>
  <si>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</si>
  <si>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</si>
  <si>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</si>
  <si>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</si>
  <si>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</si>
  <si>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</si>
  <si>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</si>
  <si>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</si>
  <si>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</si>
  <si>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</si>
  <si>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</si>
  <si>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</si>
  <si>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</si>
  <si>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</si>
  <si>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</si>
  <si>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</si>
  <si>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</si>
  <si>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</si>
  <si>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</si>
  <si>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</si>
  <si>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</si>
  <si>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</si>
  <si>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</si>
  <si>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</si>
  <si>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</si>
  <si>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</si>
  <si>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</si>
  <si>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</si>
  <si>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</si>
  <si>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</si>
  <si>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</si>
  <si>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</si>
  <si>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</si>
  <si>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</si>
  <si>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</si>
  <si>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</si>
  <si>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</si>
  <si>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</si>
  <si>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</si>
  <si>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</si>
  <si>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</si>
  <si>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</si>
  <si>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</si>
  <si>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</si>
  <si>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</si>
  <si>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</si>
  <si>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</si>
  <si>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</si>
  <si>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</si>
  <si>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</si>
  <si>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</si>
  <si>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</si>
  <si>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</si>
  <si>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</si>
  <si>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</si>
  <si>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</si>
  <si>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</si>
  <si>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</si>
  <si>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</si>
  <si>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</si>
  <si>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</si>
  <si>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</si>
  <si>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</si>
  <si>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</si>
  <si>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</si>
  <si>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</si>
  <si>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</si>
  <si>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</si>
  <si>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</si>
  <si>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</si>
  <si>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</si>
  <si>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</si>
  <si>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</si>
  <si>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</si>
  <si>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</si>
  <si>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</si>
  <si>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</si>
  <si>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</si>
  <si>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</si>
  <si>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</si>
  <si>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</si>
  <si>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</si>
  <si>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</si>
  <si>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</si>
  <si>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</si>
  <si>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</si>
  <si>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</si>
  <si>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</si>
  <si>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</si>
  <si>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</si>
  <si>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</si>
  <si>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</si>
  <si>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</si>
  <si>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</si>
  <si>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</si>
  <si>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</si>
  <si>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</si>
  <si>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</si>
  <si>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</si>
  <si>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</si>
  <si>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</si>
  <si>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</si>
  <si>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</si>
  <si>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</si>
  <si>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</si>
  <si>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</si>
  <si>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</si>
  <si>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</si>
  <si>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</si>
  <si>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</si>
  <si>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</si>
  <si>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</si>
  <si>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</si>
  <si>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</si>
  <si>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</si>
  <si>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</si>
  <si>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</si>
  <si>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</si>
  <si>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</si>
  <si>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</si>
  <si>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</si>
  <si>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</si>
  <si>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</si>
  <si>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</si>
  <si>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</si>
  <si>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</si>
  <si>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</si>
  <si>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</si>
  <si>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</si>
  <si>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</si>
  <si>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</si>
  <si>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</si>
  <si>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</si>
  <si>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</si>
  <si>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</si>
  <si>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</si>
  <si>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</si>
  <si>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</si>
  <si>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</si>
  <si>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</si>
  <si>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</si>
  <si>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</si>
  <si>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</si>
  <si>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</si>
  <si>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</si>
  <si>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</si>
  <si>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</si>
  <si>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</si>
  <si>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</si>
  <si>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</si>
  <si>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</si>
  <si>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</si>
  <si>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</si>
  <si>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</si>
  <si>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</si>
  <si>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</si>
  <si>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</si>
  <si>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</si>
  <si>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</si>
  <si>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</si>
  <si>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</si>
  <si>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</si>
  <si>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</si>
  <si>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</si>
  <si>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</si>
  <si>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</si>
  <si>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</si>
  <si>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</si>
  <si>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</si>
  <si>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</si>
  <si>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</si>
  <si>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</si>
  <si>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</si>
  <si>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</si>
  <si>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</si>
  <si>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</si>
  <si>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</si>
  <si>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</si>
  <si>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</si>
  <si>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</si>
  <si>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</si>
  <si>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</si>
  <si>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</si>
  <si>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</si>
  <si>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</si>
  <si>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</si>
  <si>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</si>
  <si>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</si>
  <si>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</si>
  <si>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</si>
  <si>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</si>
  <si>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</si>
  <si>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</si>
  <si>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</si>
  <si>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</si>
  <si>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</si>
  <si>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</si>
  <si>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</si>
  <si>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</si>
  <si>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</si>
  <si>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</si>
  <si>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</si>
  <si>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</si>
  <si>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</si>
  <si>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</si>
  <si>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</si>
  <si>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</si>
  <si>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</si>
  <si>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</si>
  <si>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</si>
  <si>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</si>
  <si>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</si>
  <si>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</si>
  <si>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</si>
  <si>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</si>
  <si>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</si>
  <si>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</si>
  <si>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</si>
  <si>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</si>
  <si>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</si>
  <si>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</si>
  <si>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</si>
  <si>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</si>
  <si>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</si>
  <si>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</si>
  <si>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</si>
  <si>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</si>
  <si>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</si>
  <si>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</si>
  <si>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</si>
  <si>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</si>
  <si>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</si>
  <si>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</si>
  <si>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</si>
  <si>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</si>
  <si>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</si>
  <si>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</si>
  <si>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</si>
  <si>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</si>
  <si>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</si>
  <si>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</si>
  <si>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</si>
  <si>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</si>
  <si>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</si>
  <si>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</si>
  <si>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</si>
  <si>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</si>
  <si>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</si>
  <si>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</si>
  <si>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</si>
  <si>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</si>
  <si>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</si>
  <si>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</si>
  <si>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</si>
  <si>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</si>
  <si>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</si>
  <si>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</si>
  <si>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</si>
  <si>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</si>
  <si>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</si>
  <si>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</si>
  <si>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</si>
  <si>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</si>
  <si>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</si>
  <si>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</si>
  <si>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</si>
  <si>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</si>
  <si>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</si>
  <si>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</si>
  <si>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</si>
  <si>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</si>
  <si>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</si>
  <si>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</si>
  <si>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</si>
  <si>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</si>
  <si>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</si>
  <si>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</si>
  <si>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</si>
  <si>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</si>
  <si>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</si>
  <si>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</si>
  <si>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</si>
  <si>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</si>
  <si>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</si>
  <si>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</si>
  <si>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</si>
  <si>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</si>
  <si>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</si>
  <si>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</si>
  <si>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</si>
  <si>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</si>
  <si>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</si>
  <si>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</si>
  <si>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</si>
  <si>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</si>
  <si>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</si>
  <si>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</si>
  <si>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</si>
  <si>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</si>
  <si>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</si>
  <si>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</si>
  <si>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</si>
  <si>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</si>
  <si>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</si>
  <si>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</si>
  <si>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</si>
  <si>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</si>
  <si>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</si>
  <si>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</si>
  <si>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</si>
  <si>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</si>
  <si>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</si>
  <si>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</si>
  <si>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</si>
  <si>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</si>
  <si>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</si>
  <si>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</si>
  <si>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</si>
  <si>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</si>
  <si>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</si>
  <si>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</si>
  <si>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</si>
  <si>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</si>
  <si>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</si>
  <si>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</si>
  <si>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</si>
  <si>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</si>
  <si>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</si>
  <si>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</si>
  <si>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</si>
  <si>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</si>
  <si>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</si>
  <si>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</si>
  <si>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</si>
  <si>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</si>
  <si>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</si>
  <si>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</si>
  <si>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</si>
  <si>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</si>
  <si>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</si>
  <si>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</si>
  <si>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</si>
  <si>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</si>
  <si>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</si>
  <si>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</si>
  <si>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</si>
  <si>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</si>
  <si>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</si>
  <si>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</si>
  <si>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</si>
  <si>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</si>
  <si>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</si>
  <si>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</si>
  <si>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</si>
  <si>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</si>
  <si>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</si>
  <si>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</si>
  <si>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</si>
  <si>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</si>
  <si>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</si>
  <si>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</si>
  <si>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</si>
  <si>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</si>
  <si>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</si>
  <si>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</si>
  <si>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</si>
  <si>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</si>
  <si>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</si>
  <si>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</si>
  <si>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</si>
  <si>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</si>
  <si>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</si>
  <si>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</si>
  <si>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</si>
  <si>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</si>
  <si>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</si>
  <si>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</si>
  <si>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</si>
  <si>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</si>
  <si>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</si>
  <si>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</si>
  <si>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</si>
  <si>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</si>
  <si>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</si>
  <si>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</si>
  <si>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</si>
  <si>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</si>
  <si>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</si>
  <si>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</si>
  <si>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</si>
  <si>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</si>
  <si>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</si>
  <si>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</si>
  <si>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</si>
  <si>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</si>
  <si>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</si>
  <si>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</si>
  <si>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</si>
  <si>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</si>
  <si>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</si>
  <si>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</si>
  <si>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</si>
  <si>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</si>
  <si>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</si>
  <si>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</si>
  <si>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</si>
  <si>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</si>
  <si>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</si>
  <si>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</si>
  <si>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</si>
  <si>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</si>
  <si>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</si>
  <si>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</si>
  <si>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</si>
  <si>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</si>
  <si>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</si>
  <si>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</si>
  <si>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</si>
  <si>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</si>
  <si>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</si>
  <si>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</si>
  <si>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</si>
  <si>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</si>
  <si>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</si>
  <si>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</si>
  <si>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</si>
  <si>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</si>
  <si>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</si>
  <si>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</si>
  <si>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</si>
  <si>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</si>
  <si>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</si>
  <si>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</si>
  <si>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</si>
  <si>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</si>
  <si>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</si>
  <si>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</si>
  <si>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</si>
  <si>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</si>
  <si>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</si>
  <si>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</si>
  <si>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</si>
  <si>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</si>
  <si>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</si>
  <si>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</si>
  <si>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</si>
  <si>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</si>
  <si>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</si>
  <si>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</si>
  <si>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</si>
  <si>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</si>
  <si>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</si>
  <si>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</si>
  <si>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</si>
  <si>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</si>
  <si>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</si>
  <si>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</si>
  <si>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</si>
  <si>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</si>
  <si>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</si>
  <si>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</si>
  <si>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</si>
  <si>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</si>
  <si>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</si>
  <si>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</si>
  <si>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</si>
  <si>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</si>
  <si>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</si>
  <si>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</si>
  <si>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</si>
  <si>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</si>
  <si>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</si>
  <si>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</si>
  <si>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</si>
  <si>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</si>
  <si>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</si>
  <si>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</si>
  <si>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</si>
  <si>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</si>
  <si>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</si>
  <si>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</si>
  <si>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</si>
  <si>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</si>
  <si>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</si>
  <si>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</si>
  <si>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</si>
  <si>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</si>
  <si>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</si>
  <si>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</si>
  <si>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</si>
  <si>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</si>
  <si>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</si>
  <si>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</si>
  <si>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</si>
  <si>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</si>
  <si>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</si>
  <si>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</si>
  <si>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</si>
  <si>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</si>
  <si>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</si>
  <si>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</si>
  <si>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</si>
  <si>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</si>
  <si>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</si>
  <si>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</si>
  <si>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</si>
  <si>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</si>
  <si>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</si>
  <si>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</si>
  <si>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</si>
  <si>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</si>
  <si>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</si>
  <si>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</si>
  <si>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</si>
  <si>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</si>
  <si>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</si>
  <si>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</si>
  <si>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</si>
  <si>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</si>
  <si>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</si>
  <si>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</si>
  <si>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</si>
  <si>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</si>
  <si>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</si>
  <si>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</si>
  <si>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</si>
  <si>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</si>
  <si>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</si>
  <si>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</si>
  <si>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</si>
  <si>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</si>
  <si>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</si>
  <si>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</si>
  <si>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</si>
  <si>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</si>
  <si>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</si>
  <si>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</si>
  <si>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</si>
  <si>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</si>
  <si>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</si>
  <si>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</si>
  <si>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</si>
  <si>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</si>
  <si>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</si>
  <si>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</si>
  <si>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</si>
  <si>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</si>
  <si>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</si>
  <si>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</si>
  <si>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</si>
  <si>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</si>
  <si>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</si>
  <si>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</si>
  <si>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</si>
  <si>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</si>
  <si>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</si>
  <si>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</si>
  <si>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</si>
  <si>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</si>
  <si>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</si>
  <si>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</si>
  <si>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</si>
  <si>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</si>
  <si>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</si>
  <si>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</si>
  <si>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</si>
  <si>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</si>
  <si>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</si>
  <si>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</si>
  <si>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</si>
  <si>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</si>
  <si>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</si>
  <si>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</si>
  <si>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</si>
  <si>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</si>
  <si>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</si>
  <si>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</si>
  <si>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</si>
  <si>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</si>
  <si>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</si>
  <si>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</si>
  <si>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</si>
  <si>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</si>
  <si>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</si>
  <si>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</si>
  <si>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</si>
  <si>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</si>
  <si>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</si>
  <si>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</si>
  <si>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</si>
  <si>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</si>
  <si>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</si>
  <si>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</si>
  <si>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</si>
  <si>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</si>
  <si>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</si>
  <si>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</si>
  <si>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</si>
  <si>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</si>
  <si>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</si>
  <si>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</si>
  <si>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</si>
  <si>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</si>
  <si>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</si>
  <si>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</si>
  <si>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</si>
  <si>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</si>
  <si>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</si>
  <si>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</si>
  <si>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</si>
  <si>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</si>
  <si>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</si>
  <si>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</si>
  <si>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</si>
  <si>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</si>
  <si>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</si>
  <si>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</si>
  <si>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</si>
  <si>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</si>
  <si>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</si>
  <si>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</si>
  <si>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</si>
  <si>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</si>
  <si>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</si>
  <si>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</si>
  <si>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</si>
  <si>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</si>
  <si>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</si>
  <si>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</si>
  <si>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</si>
  <si>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</si>
  <si>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</si>
  <si>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</si>
  <si>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</si>
  <si>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</si>
  <si>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</si>
  <si>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</si>
  <si>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</si>
  <si>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</si>
  <si>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</si>
  <si>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</si>
  <si>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</si>
  <si>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</si>
  <si>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</si>
  <si>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</si>
  <si>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</si>
  <si>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</si>
  <si>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</si>
  <si>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</si>
  <si>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</si>
  <si>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</si>
  <si>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</si>
  <si>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</si>
  <si>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</si>
  <si>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</si>
  <si>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</si>
  <si>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</si>
  <si>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</si>
  <si>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</si>
  <si>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</si>
  <si>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</si>
  <si>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</si>
  <si>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</si>
  <si>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</si>
  <si>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</si>
  <si>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</si>
  <si>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</si>
  <si>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</si>
  <si>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</si>
  <si>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</si>
  <si>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</si>
  <si>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</si>
  <si>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</si>
  <si>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</si>
  <si>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</si>
  <si>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</si>
  <si>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</si>
  <si>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</si>
  <si>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</si>
  <si>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</si>
  <si>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</si>
  <si>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</si>
  <si>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</si>
  <si>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</si>
  <si>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</si>
  <si>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</si>
  <si>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</si>
  <si>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</si>
  <si>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</si>
  <si>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</si>
  <si>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</si>
  <si>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</si>
  <si>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</si>
  <si>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</si>
  <si>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</si>
  <si>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</si>
  <si>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</si>
  <si>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</si>
  <si>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</si>
  <si>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</si>
  <si>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</si>
  <si>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</si>
  <si>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</si>
  <si>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</si>
  <si>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</si>
  <si>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</si>
  <si>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</si>
  <si>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</si>
  <si>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</si>
  <si>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</si>
  <si>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</si>
  <si>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</si>
  <si>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</si>
  <si>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</si>
  <si>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</si>
  <si>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</si>
  <si>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</si>
  <si>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</si>
  <si>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</si>
  <si>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</si>
  <si>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</si>
  <si>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</si>
  <si>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</si>
  <si>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</si>
  <si>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</si>
  <si>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</si>
  <si>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</si>
  <si>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</si>
  <si>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</si>
  <si>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</si>
  <si>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</si>
  <si>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</si>
  <si>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</si>
  <si>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</si>
  <si>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</si>
  <si>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</si>
  <si>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</si>
  <si>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</si>
  <si>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</si>
  <si>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</si>
  <si>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</si>
  <si>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</si>
  <si>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</si>
  <si>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</si>
  <si>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</si>
  <si>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</si>
  <si>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</si>
  <si>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</si>
  <si>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</si>
  <si>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</si>
  <si>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</si>
  <si>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</si>
  <si>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</si>
  <si>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</si>
  <si>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</si>
  <si>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</si>
  <si>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</si>
  <si>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</si>
  <si>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</si>
  <si>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</si>
  <si>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</si>
  <si>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</si>
  <si>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</si>
  <si>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</si>
  <si>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</si>
  <si>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</si>
  <si>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</si>
  <si>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</si>
  <si>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</si>
  <si>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</si>
  <si>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</si>
  <si>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</si>
  <si>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</si>
  <si>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</si>
  <si>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</si>
  <si>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</si>
  <si>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</si>
  <si>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</si>
  <si>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</si>
  <si>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</si>
  <si>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</si>
  <si>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</si>
  <si>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</si>
  <si>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</si>
  <si>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</si>
  <si>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</si>
  <si>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</si>
  <si>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</si>
  <si>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</si>
  <si>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</si>
  <si>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</si>
  <si>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</si>
  <si>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</si>
  <si>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</si>
  <si>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</si>
  <si>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</si>
  <si>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</si>
  <si>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</si>
  <si>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</si>
  <si>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</si>
  <si>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</si>
  <si>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</si>
  <si>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</si>
  <si>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</si>
  <si>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</si>
  <si>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</si>
  <si>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</si>
  <si>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</si>
  <si>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</si>
  <si>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</si>
  <si>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</si>
  <si>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</si>
  <si>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</si>
  <si>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</si>
  <si>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</si>
  <si>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</si>
  <si>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</si>
  <si>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</si>
  <si>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</si>
  <si>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</si>
  <si>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</si>
  <si>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</si>
  <si>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</si>
  <si>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</si>
  <si>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</si>
  <si>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</si>
  <si>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</si>
  <si>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</si>
  <si>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</si>
  <si>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</si>
  <si>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</si>
  <si>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</si>
  <si>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</si>
  <si>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</si>
  <si>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</si>
  <si>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</si>
  <si>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</si>
  <si>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</si>
  <si>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</si>
  <si>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</si>
  <si>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</si>
  <si>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</si>
  <si>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</si>
  <si>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</si>
  <si>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</si>
  <si>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</si>
  <si>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</si>
  <si>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</si>
  <si>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</si>
  <si>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</si>
  <si>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</si>
  <si>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</si>
  <si>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</si>
  <si>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</si>
  <si>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</si>
  <si>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</si>
  <si>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</si>
  <si>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</si>
  <si>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</si>
  <si>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</si>
  <si>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</si>
  <si>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</si>
  <si>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</si>
  <si>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</si>
  <si>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</si>
  <si>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</si>
  <si>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</si>
  <si>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</si>
  <si>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</si>
  <si>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</si>
  <si>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</si>
  <si>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</si>
  <si>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</si>
  <si>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</si>
  <si>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</si>
  <si>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</si>
  <si>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</si>
  <si>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</si>
  <si>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</si>
  <si>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</si>
  <si>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</si>
  <si>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</si>
  <si>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</si>
  <si>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</si>
  <si>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</si>
  <si>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</si>
  <si>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</si>
  <si>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</si>
  <si>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</si>
  <si>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</si>
  <si>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</si>
  <si>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</si>
  <si>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</si>
  <si>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</si>
  <si>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</si>
  <si>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</si>
  <si>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</si>
  <si>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</si>
  <si>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</si>
  <si>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</si>
  <si>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</si>
  <si>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</si>
  <si>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</si>
  <si>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</si>
  <si>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</si>
  <si>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</si>
  <si>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</si>
  <si>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</si>
  <si>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</si>
  <si>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</si>
  <si>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</si>
  <si>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</si>
  <si>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</si>
  <si>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</si>
  <si>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</si>
  <si>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</si>
  <si>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</si>
  <si>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</si>
  <si>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</si>
  <si>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</si>
  <si>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</si>
  <si>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</si>
  <si>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</si>
  <si>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</si>
  <si>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</si>
  <si>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</si>
  <si>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</si>
  <si>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</si>
  <si>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</si>
  <si>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</si>
  <si>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</si>
  <si>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</si>
  <si>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</si>
  <si>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</si>
  <si>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</si>
  <si>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</si>
  <si>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</si>
  <si>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</si>
  <si>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</si>
  <si>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</si>
  <si>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</si>
  <si>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</si>
  <si>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</si>
  <si>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</si>
  <si>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</si>
  <si>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</si>
  <si>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</si>
  <si>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</si>
  <si>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</si>
  <si>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</si>
  <si>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</si>
  <si>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</si>
  <si>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</si>
  <si>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</si>
  <si>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</si>
  <si>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</si>
  <si>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</si>
  <si>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</si>
  <si>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</si>
  <si>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</si>
  <si>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</si>
  <si>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</si>
  <si>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</si>
  <si>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</si>
  <si>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</si>
  <si>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</si>
  <si>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</si>
  <si>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</si>
  <si>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</si>
  <si>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</si>
  <si>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</si>
  <si>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</si>
  <si>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</si>
  <si>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</si>
  <si>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</si>
  <si>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</si>
  <si>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</si>
  <si>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</si>
  <si>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</si>
  <si>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</si>
  <si>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</si>
  <si>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</si>
  <si>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</si>
  <si>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</si>
  <si>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</si>
  <si>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</si>
  <si>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</si>
  <si>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</si>
  <si>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</si>
  <si>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</si>
  <si>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</si>
  <si>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</si>
  <si>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</si>
  <si>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</si>
  <si>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</si>
  <si>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</si>
  <si>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</si>
  <si>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</si>
  <si>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</si>
  <si>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</si>
  <si>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</si>
  <si>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</si>
  <si>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</si>
  <si>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</si>
  <si>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</si>
  <si>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</si>
  <si>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</si>
  <si>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</si>
  <si>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</si>
  <si>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</si>
  <si>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</si>
  <si>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</si>
  <si>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</si>
  <si>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</si>
  <si>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</si>
  <si>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</si>
  <si>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</si>
  <si>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</si>
  <si>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</si>
  <si>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</si>
  <si>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</si>
  <si>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</si>
  <si>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</si>
  <si>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</si>
  <si>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</si>
  <si>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</si>
  <si>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</si>
  <si>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</si>
  <si>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</si>
  <si>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</si>
  <si>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</si>
  <si>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</si>
  <si>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</si>
  <si>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</si>
  <si>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</si>
  <si>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</si>
  <si>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</si>
  <si>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</si>
  <si>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</si>
  <si>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</si>
  <si>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</si>
  <si>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</si>
  <si>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</si>
  <si>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</si>
  <si>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</si>
  <si>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</si>
  <si>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</si>
  <si>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</si>
  <si>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</si>
  <si>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</si>
  <si>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</si>
  <si>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</si>
  <si>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</si>
  <si>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</si>
  <si>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</si>
  <si>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</si>
  <si>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</si>
  <si>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</si>
  <si>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</si>
  <si>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</si>
  <si>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</si>
  <si>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</si>
  <si>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</si>
  <si>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</si>
  <si>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</si>
  <si>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</si>
  <si>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</si>
  <si>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</si>
  <si>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</si>
  <si>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</si>
  <si>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</si>
  <si>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</si>
  <si>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</si>
  <si>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</si>
  <si>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</si>
  <si>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</si>
  <si>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</si>
  <si>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</si>
  <si>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</si>
  <si>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</si>
  <si>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</si>
  <si>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</si>
  <si>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</si>
  <si>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</si>
  <si>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</si>
  <si>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</si>
  <si>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</si>
  <si>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</si>
  <si>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</si>
  <si>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</si>
  <si>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</si>
  <si>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</si>
  <si>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</si>
  <si>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</si>
  <si>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</si>
  <si>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</si>
  <si>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</si>
  <si>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</si>
  <si>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</si>
  <si>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</si>
  <si>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</si>
  <si>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</si>
  <si>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</si>
  <si>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</si>
  <si>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</si>
  <si>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</si>
  <si>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</si>
  <si>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</si>
  <si>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</si>
  <si>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</si>
  <si>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</si>
  <si>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</si>
  <si>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</si>
  <si>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</si>
  <si>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</si>
  <si>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</si>
  <si>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</si>
  <si>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</si>
  <si>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</si>
  <si>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</si>
  <si>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</si>
  <si>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</si>
  <si>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</si>
  <si>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</si>
  <si>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</si>
  <si>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</si>
  <si>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</si>
  <si>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</si>
  <si>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</si>
  <si>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</si>
  <si>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</si>
  <si>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</si>
  <si>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</si>
  <si>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</si>
  <si>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</si>
  <si>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</si>
  <si>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</si>
  <si>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</si>
  <si>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</si>
  <si>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</si>
  <si>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</si>
  <si>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</si>
  <si>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</si>
  <si>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</si>
  <si>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</si>
  <si>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</si>
  <si>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</si>
  <si>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</si>
  <si>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</si>
  <si>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</si>
  <si>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</si>
  <si>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</si>
  <si>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</si>
  <si>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</si>
  <si>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</si>
  <si>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</si>
  <si>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</si>
  <si>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</si>
  <si>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</si>
  <si>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</si>
  <si>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</si>
  <si>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</si>
  <si>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</si>
  <si>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</si>
  <si>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</si>
  <si>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</si>
  <si>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</si>
  <si>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</si>
  <si>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</si>
  <si>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</si>
  <si>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</si>
  <si>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</si>
  <si>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</si>
  <si>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</si>
  <si>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</si>
  <si>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</si>
  <si>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</si>
  <si>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</si>
  <si>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</si>
  <si>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</si>
  <si>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</si>
  <si>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</si>
  <si>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</si>
  <si>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</si>
  <si>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</si>
  <si>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</si>
  <si>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</si>
  <si>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</si>
  <si>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</si>
  <si>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</si>
  <si>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</si>
  <si>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</si>
  <si>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</si>
  <si>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</si>
  <si>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</si>
  <si>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</si>
  <si>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</si>
  <si>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</si>
  <si>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</si>
  <si>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</si>
  <si>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</si>
  <si>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</si>
  <si>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</si>
  <si>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</si>
  <si>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</si>
  <si>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</si>
  <si>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</si>
  <si>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</si>
  <si>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</si>
  <si>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</si>
  <si>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</si>
  <si>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</si>
  <si>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</si>
  <si>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</si>
  <si>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</si>
  <si>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</si>
  <si>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</si>
  <si>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</si>
  <si>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</si>
  <si>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</si>
  <si>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</si>
  <si>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</si>
  <si>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</si>
  <si>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</si>
  <si>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</si>
  <si>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</si>
  <si>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</si>
  <si>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</si>
  <si>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</si>
  <si>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</si>
  <si>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</si>
  <si>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</si>
  <si>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</si>
  <si>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</si>
  <si>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</si>
  <si>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</si>
  <si>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</si>
  <si>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</si>
  <si>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</si>
  <si>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</si>
  <si>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</si>
  <si>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</si>
  <si>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</si>
  <si>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</si>
  <si>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</si>
  <si>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</si>
  <si>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</si>
  <si>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</si>
  <si>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</si>
  <si>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</si>
  <si>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</si>
  <si>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</si>
  <si>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</si>
  <si>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</si>
  <si>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</si>
  <si>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</si>
  <si>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</si>
  <si>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</si>
  <si>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</si>
  <si>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</si>
  <si>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</si>
  <si>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</si>
  <si>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</si>
  <si>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</si>
  <si>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</si>
  <si>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</si>
  <si>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</si>
  <si>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</si>
  <si>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</si>
  <si>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</si>
  <si>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</si>
  <si>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</si>
  <si>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</si>
  <si>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</si>
  <si>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</si>
  <si>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</si>
  <si>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</si>
  <si>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</si>
  <si>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</si>
  <si>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</si>
  <si>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</si>
  <si>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</si>
  <si>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</si>
  <si>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</si>
  <si>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</si>
  <si>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</si>
  <si>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</si>
  <si>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</si>
  <si>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</si>
  <si>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</si>
  <si>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</si>
  <si>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</si>
  <si>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</si>
  <si>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</si>
  <si>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</si>
  <si>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</si>
  <si>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</si>
  <si>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</si>
  <si>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</si>
  <si>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</si>
  <si>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</si>
  <si>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</si>
  <si>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</si>
  <si>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</si>
  <si>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</si>
  <si>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</si>
  <si>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</si>
  <si>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</si>
  <si>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</si>
  <si>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</si>
  <si>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</si>
  <si>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</si>
  <si>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</si>
  <si>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</si>
  <si>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</si>
  <si>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</si>
  <si>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</si>
  <si>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</si>
  <si>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</si>
  <si>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</si>
  <si>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</si>
  <si>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</si>
  <si>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</si>
  <si>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</si>
  <si>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</si>
  <si>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</si>
  <si>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</si>
  <si>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</si>
  <si>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</si>
  <si>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</si>
  <si>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</si>
  <si>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</si>
  <si>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</si>
  <si>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</si>
  <si>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</si>
  <si>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</si>
  <si>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</si>
  <si>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</si>
  <si>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</si>
  <si>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</si>
  <si>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</si>
  <si>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</si>
  <si>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</si>
  <si>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</si>
  <si>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</si>
  <si>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</si>
  <si>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</si>
  <si>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</si>
  <si>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</si>
  <si>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</si>
  <si>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</si>
  <si>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</si>
  <si>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</si>
  <si>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</si>
  <si>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</si>
  <si>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</si>
  <si>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</si>
  <si>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</si>
  <si>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</si>
  <si>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</si>
  <si>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</si>
  <si>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</si>
  <si>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</si>
  <si>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</si>
  <si>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</si>
  <si>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</si>
  <si>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</si>
  <si>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</si>
  <si>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</si>
  <si>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</si>
  <si>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</si>
  <si>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</si>
  <si>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</si>
  <si>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</si>
  <si>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</si>
  <si>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</si>
  <si>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</si>
  <si>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</si>
  <si>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</si>
  <si>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</si>
  <si>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</si>
  <si>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</si>
  <si>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</si>
  <si>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</si>
  <si>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</si>
  <si>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</si>
  <si>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</si>
  <si>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</si>
  <si>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</si>
  <si>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</si>
  <si>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</si>
  <si>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</si>
  <si>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</si>
  <si>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</si>
  <si>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</si>
  <si>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</si>
  <si>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</si>
  <si>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</si>
  <si>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</si>
  <si>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</si>
  <si>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</si>
  <si>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</si>
  <si>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</si>
  <si>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</si>
  <si>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</si>
  <si>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</si>
  <si>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</si>
  <si>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</si>
  <si>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</si>
  <si>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</si>
  <si>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</si>
  <si>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</si>
  <si>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</si>
  <si>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</si>
  <si>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</si>
  <si>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</si>
  <si>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</si>
  <si>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</si>
  <si>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</si>
  <si>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</si>
  <si>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</si>
  <si>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</si>
  <si>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</si>
  <si>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</si>
  <si>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</si>
  <si>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</si>
  <si>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</si>
  <si>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</si>
  <si>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</si>
  <si>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</si>
  <si>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</si>
  <si>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</si>
  <si>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</si>
  <si>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</si>
  <si>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</si>
  <si>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</si>
  <si>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</si>
  <si>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</si>
  <si>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</si>
  <si>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</si>
  <si>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</si>
  <si>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</si>
  <si>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</si>
  <si>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</si>
  <si>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</si>
  <si>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</si>
  <si>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</si>
  <si>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</si>
  <si>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</si>
  <si>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</si>
  <si>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</si>
  <si>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</si>
  <si>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</si>
  <si>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</si>
  <si>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</si>
  <si>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</si>
  <si>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</si>
  <si>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                  CHATHAM SCHOOL LDISTRICT</t>
  </si>
  <si>
    <t>Fund Equity Beginning Balance did not agree with Prior Year DOE 25 -  In fact the ending cash balance was used</t>
  </si>
  <si>
    <t>and had been increased by $10,000</t>
  </si>
  <si>
    <t>Prior year reported revenue for Natl Forest Funds of $14,131.92 should have been deferred revenue funds</t>
  </si>
  <si>
    <t>Adjusted - Other Deletions   $24,131.92 Correction from Prior Year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</si>
</sst>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91</v>
      </c>
      <c r="C2" s="21">
        <v>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257082.78</v>
      </c>
      <c r="G9" s="18"/>
      <c r="H9" s="18">
        <v>0</v>
      </c>
      <c r="I9" s="18"/>
      <c r="J9" s="67">
        <f>SUM(I440)</f>
        <v>151408.56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257082.78</v>
      </c>
      <c r="G19" s="41">
        <f>SUM(G9:G18)</f>
        <v>0</v>
      </c>
      <c r="H19" s="41">
        <f>SUM(H9:H18)</f>
        <v>0</v>
      </c>
      <c r="I19" s="41">
        <f>SUM(I9:I18)</f>
        <v>0</v>
      </c>
      <c r="J19" s="41">
        <f>SUM(J9:J18)</f>
        <v>151408.56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8842.74</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12369.19</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21211.93</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17080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151408.56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218790.85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235870.85</v>
      </c>
      <c r="G51" s="41">
        <f>SUM(G35:G50)</f>
        <v>0</v>
      </c>
      <c r="H51" s="41">
        <f>SUM(H35:H50)</f>
        <v>0</v>
      </c>
      <c r="I51" s="41">
        <f>SUM(I35:I50)</f>
        <v>0</v>
      </c>
      <c r="J51" s="41">
        <f>SUM(J35:J50)</f>
        <v>151408.56</v>
      </c>
      <c r="K51" s="45" t="s">
        <v>288</v>
      </c>
      <c r="L51" s="45" t="s">
        <v>288</v>
      </c>
      <c r="N51" s="264"/>
    </row>
    <row r="52" spans="1:14" s="3" customFormat="1" ht="12.2" customHeight="1" thickTop="1" x14ac:dyDescent="0.15">
      <c r="A52" s="38" t="s">
        <v>455</v>
      </c>
      <c r="B52" s="39" t="s">
        <v>289</v>
      </c>
      <c r="C52" s="6">
        <v>37</v>
      </c>
      <c r="D52" s="39" t="s">
        <v>653</v>
      </c>
      <c r="E52" s="39"/>
      <c r="F52" s="41">
        <f>F51+F32</f>
        <v>257082.78</v>
      </c>
      <c r="G52" s="41">
        <f>G51+G32</f>
        <v>0</v>
      </c>
      <c r="H52" s="41">
        <f>H51+H32</f>
        <v>0</v>
      </c>
      <c r="I52" s="41">
        <f>I51+I32</f>
        <v>0</v>
      </c>
      <c r="J52" s="41">
        <f>J51+J32</f>
        <v>151408.56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577332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577332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15.53</v>
      </c>
      <c r="G96" s="18"/>
      <c r="H96" s="18"/>
      <c r="I96" s="18"/>
      <c r="J96" s="18">
        <v>5.85</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213.34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228.87</v>
      </c>
      <c r="G111" s="41">
        <f>SUM(G96:G110)</f>
        <v>0</v>
      </c>
      <c r="H111" s="41">
        <f>SUM(H96:H110)</f>
        <v>0</v>
      </c>
      <c r="I111" s="41">
        <f>SUM(I96:I110)</f>
        <v>0</v>
      </c>
      <c r="J111" s="41">
        <f>SUM(J96:J110)</f>
        <v>5.85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577560.87</v>
      </c>
      <c r="G112" s="41">
        <f>G60+G111</f>
        <v>0</v>
      </c>
      <c r="H112" s="41">
        <f>H60+H79+H94+H111</f>
        <v>0</v>
      </c>
      <c r="I112" s="41">
        <f>I60+I111</f>
        <v>0</v>
      </c>
      <c r="J112" s="41">
        <f>J60+J111</f>
        <v>5.85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118493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105882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224375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224375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0</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3155.24</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3155.24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14131.92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14131.92</v>
      </c>
      <c r="G170" s="41">
        <f>G147+G163+SUM(G164:G169)</f>
        <v>0</v>
      </c>
      <c r="H170" s="41">
        <f>H147+H163+SUM(H164:H169)</f>
        <v>3155.24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816067.79</v>
      </c>
      <c r="G194" s="47">
        <f>G112+G140+G170+G193</f>
        <v>0</v>
      </c>
      <c r="H194" s="47">
        <f>H112+H140+H170+H193</f>
        <v>3155.24</v>
      </c>
      <c r="I194" s="47">
        <f>I112+I140+I170+I193</f>
        <v>0</v>
      </c>
      <c r="J194" s="47">
        <f>J112+J140+J193</f>
        <v>20005.849999999999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292248.65999999997</v>
      </c>
      <c r="I198" s="18"/>
      <c r="J198" s="18"/>
      <c r="K198" s="18"/>
      <c r="L198" s="19">
        <f>SUM(F198:K198)</f>
        <v>292248.65999999997</v>
      </c>
      <c r="M198" s="8"/>
      <c r="N198" s="266"/>
    </row>
    <row r="199" spans="1:14" s="3" customFormat="1" ht="12.2" customHeight="1" x14ac:dyDescent="0.15">
      <c r="A199" s="1" t="s">
        <v>439</v>
      </c>
      <c r="B199" s="2" t="s">
        <v>341</v>
      </c>
      <c r="C199" s="2" t="s">
        <v>291</v>
      </c>
      <c r="D199" s="2" t="s">
        <v>431</v>
      </c>
      <c r="E199" s="6">
        <v>1200</v>
      </c>
      <c r="F199" s="18"/>
      <c r="G199" s="18"/>
      <c r="H199" s="18">
        <v>135587.43</v>
      </c>
      <c r="I199" s="18"/>
      <c r="J199" s="18"/>
      <c r="K199" s="18"/>
      <c r="L199" s="19">
        <f>SUM(F199:K199)</f>
        <v>135587.43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18853.21</v>
      </c>
      <c r="I203" s="18"/>
      <c r="J203" s="18"/>
      <c r="K203" s="18"/>
      <c r="L203" s="19">
        <f t="shared" ref="L203:L209" si="0">SUM(F203:K203)</f>
        <v>18853.21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573</v>
      </c>
      <c r="G205" s="18">
        <v>224.64</v>
      </c>
      <c r="H205" s="18">
        <v>9364.9699999999993</v>
      </c>
      <c r="I205" s="18"/>
      <c r="J205" s="18"/>
      <c r="K205" s="18"/>
      <c r="L205" s="19">
        <f t="shared" si="0"/>
        <v>10162.609999999999</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40191.06</v>
      </c>
      <c r="I209" s="18">
        <v>1887.34</v>
      </c>
      <c r="J209" s="18"/>
      <c r="K209" s="18"/>
      <c r="L209" s="19">
        <f t="shared" si="0"/>
        <v>42078.399999999994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573</v>
      </c>
      <c r="G212" s="41">
        <f t="shared" si="1"/>
        <v>224.64</v>
      </c>
      <c r="H212" s="41">
        <f t="shared" si="1"/>
        <v>496245.32999999996</v>
      </c>
      <c r="I212" s="41">
        <f t="shared" si="1"/>
        <v>1887.34</v>
      </c>
      <c r="J212" s="41">
        <f t="shared" si="1"/>
        <v>0</v>
      </c>
      <c r="K212" s="41">
        <f t="shared" si="1"/>
        <v>0</v>
      </c>
      <c r="L212" s="41">
        <f t="shared" si="1"/>
        <v>498930.30999999994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192420.68</v>
      </c>
      <c r="I234" s="18"/>
      <c r="J234" s="18"/>
      <c r="K234" s="18"/>
      <c r="L234" s="19">
        <f>SUM(F234:K234)</f>
        <v>192420.68</v>
      </c>
      <c r="M234" s="8"/>
      <c r="N234" s="266"/>
    </row>
    <row r="235" spans="1:14" s="3" customFormat="1" ht="12.2" customHeight="1" x14ac:dyDescent="0.15">
      <c r="A235" s="1" t="s">
        <v>439</v>
      </c>
      <c r="B235" s="2" t="s">
        <v>350</v>
      </c>
      <c r="C235" s="2" t="s">
        <v>291</v>
      </c>
      <c r="D235" s="2" t="s">
        <v>431</v>
      </c>
      <c r="E235" s="6">
        <v>1200</v>
      </c>
      <c r="F235" s="18"/>
      <c r="G235" s="18"/>
      <c r="H235" s="18">
        <v>3243.59</v>
      </c>
      <c r="I235" s="18"/>
      <c r="J235" s="18"/>
      <c r="K235" s="18"/>
      <c r="L235" s="19">
        <f>SUM(F235:K235)</f>
        <v>3243.59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0</v>
      </c>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282</v>
      </c>
      <c r="G241" s="18">
        <v>110.65</v>
      </c>
      <c r="H241" s="18">
        <v>4612.03</v>
      </c>
      <c r="I241" s="18"/>
      <c r="J241" s="18"/>
      <c r="K241" s="18"/>
      <c r="L241" s="19">
        <f t="shared" si="4"/>
        <v>5004.6799999999994</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19795.599999999999</v>
      </c>
      <c r="I245" s="18">
        <v>929.58</v>
      </c>
      <c r="J245" s="18"/>
      <c r="K245" s="18"/>
      <c r="L245" s="19">
        <f t="shared" si="4"/>
        <v>20725.18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282</v>
      </c>
      <c r="G248" s="41">
        <f t="shared" si="5"/>
        <v>110.65</v>
      </c>
      <c r="H248" s="41">
        <f t="shared" si="5"/>
        <v>220071.9</v>
      </c>
      <c r="I248" s="41">
        <f t="shared" si="5"/>
        <v>929.58</v>
      </c>
      <c r="J248" s="41">
        <f t="shared" si="5"/>
        <v>0</v>
      </c>
      <c r="K248" s="41">
        <f t="shared" si="5"/>
        <v>0</v>
      </c>
      <c r="L248" s="41">
        <f t="shared" si="5"/>
        <v>221394.12999999998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855</v>
      </c>
      <c r="G258" s="41">
        <f t="shared" si="8"/>
        <v>335.28999999999996</v>
      </c>
      <c r="H258" s="41">
        <f t="shared" si="8"/>
        <v>716317.23</v>
      </c>
      <c r="I258" s="41">
        <f t="shared" si="8"/>
        <v>2816.92</v>
      </c>
      <c r="J258" s="41">
        <f t="shared" si="8"/>
        <v>0</v>
      </c>
      <c r="K258" s="41">
        <f t="shared" si="8"/>
        <v>0</v>
      </c>
      <c r="L258" s="41">
        <f t="shared" si="8"/>
        <v>720324.44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6"/>
    </row>
    <row r="272" spans="1:14" s="34" customFormat="1" ht="12.2" customHeight="1" thickTop="1" x14ac:dyDescent="0.2">
      <c r="A272" s="43" t="s">
        <v>464</v>
      </c>
      <c r="B272" s="40">
        <v>10</v>
      </c>
      <c r="C272" s="40">
        <v>18</v>
      </c>
      <c r="D272" s="39" t="s">
        <v>431</v>
      </c>
      <c r="E272" s="40"/>
      <c r="F272" s="42">
        <f t="shared" ref="F272:L272" si="11">F258+F271</f>
        <v>855</v>
      </c>
      <c r="G272" s="42">
        <f t="shared" si="11"/>
        <v>335.28999999999996</v>
      </c>
      <c r="H272" s="42">
        <f t="shared" si="11"/>
        <v>716317.23</v>
      </c>
      <c r="I272" s="42">
        <f t="shared" si="11"/>
        <v>2816.92</v>
      </c>
      <c r="J272" s="42">
        <f t="shared" si="11"/>
        <v>0</v>
      </c>
      <c r="K272" s="42">
        <f t="shared" si="11"/>
        <v>20000</v>
      </c>
      <c r="L272" s="42">
        <f t="shared" si="11"/>
        <v>740324.44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v>135.16999999999999</v>
      </c>
      <c r="J288" s="18"/>
      <c r="K288" s="18"/>
      <c r="L288" s="19">
        <f t="shared" si="12"/>
        <v>135.16999999999999</v>
      </c>
      <c r="M288" s="8"/>
      <c r="N288" s="266"/>
    </row>
    <row r="289" spans="1:14" s="3" customFormat="1" ht="12.2" customHeight="1" x14ac:dyDescent="0.15">
      <c r="A289" s="1" t="s">
        <v>449</v>
      </c>
      <c r="B289" s="2" t="s">
        <v>357</v>
      </c>
      <c r="C289" s="2" t="s">
        <v>343</v>
      </c>
      <c r="D289" s="2" t="s">
        <v>431</v>
      </c>
      <c r="E289" s="6">
        <v>2800</v>
      </c>
      <c r="F289" s="18"/>
      <c r="G289" s="18"/>
      <c r="H289" s="18">
        <v>1651</v>
      </c>
      <c r="I289" s="18">
        <v>327.97</v>
      </c>
      <c r="J289" s="18"/>
      <c r="K289" s="18"/>
      <c r="L289" s="19">
        <f>SUM(F289:K289)</f>
        <v>1978.97</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1651</v>
      </c>
      <c r="I291" s="42">
        <f t="shared" si="13"/>
        <v>463.14</v>
      </c>
      <c r="J291" s="42">
        <f t="shared" si="13"/>
        <v>0</v>
      </c>
      <c r="K291" s="42">
        <f t="shared" si="13"/>
        <v>0</v>
      </c>
      <c r="L291" s="41">
        <f t="shared" si="13"/>
        <v>2114.14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v>66.569999999999993</v>
      </c>
      <c r="J325" s="18"/>
      <c r="K325" s="18"/>
      <c r="L325" s="19">
        <f t="shared" si="16"/>
        <v>66.569999999999993</v>
      </c>
      <c r="M325" s="8"/>
      <c r="N325" s="266"/>
    </row>
    <row r="326" spans="1:14" s="3" customFormat="1" ht="12.2" customHeight="1" x14ac:dyDescent="0.15">
      <c r="A326" s="1" t="s">
        <v>448</v>
      </c>
      <c r="B326" s="2" t="s">
        <v>359</v>
      </c>
      <c r="C326" s="2" t="s">
        <v>300</v>
      </c>
      <c r="D326" s="2" t="s">
        <v>431</v>
      </c>
      <c r="E326" s="6">
        <v>2700</v>
      </c>
      <c r="F326" s="18"/>
      <c r="G326" s="18"/>
      <c r="H326" s="18">
        <v>813</v>
      </c>
      <c r="I326" s="18">
        <v>161.53</v>
      </c>
      <c r="J326" s="18"/>
      <c r="K326" s="18"/>
      <c r="L326" s="19">
        <f t="shared" si="16"/>
        <v>974.53</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813</v>
      </c>
      <c r="I329" s="42">
        <f t="shared" si="17"/>
        <v>228.1</v>
      </c>
      <c r="J329" s="42">
        <f t="shared" si="17"/>
        <v>0</v>
      </c>
      <c r="K329" s="42">
        <f t="shared" si="17"/>
        <v>0</v>
      </c>
      <c r="L329" s="41">
        <f t="shared" si="17"/>
        <v>1041.0999999999999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2464</v>
      </c>
      <c r="I339" s="41">
        <f t="shared" si="20"/>
        <v>691.24</v>
      </c>
      <c r="J339" s="41">
        <f t="shared" si="20"/>
        <v>0</v>
      </c>
      <c r="K339" s="41">
        <f t="shared" si="20"/>
        <v>0</v>
      </c>
      <c r="L339" s="41">
        <f t="shared" si="20"/>
        <v>3155.24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2464</v>
      </c>
      <c r="I353" s="41">
        <f>I339</f>
        <v>691.24</v>
      </c>
      <c r="J353" s="41">
        <f>J339</f>
        <v>0</v>
      </c>
      <c r="K353" s="47">
        <f>K339+K352</f>
        <v>0</v>
      </c>
      <c r="L353" s="41">
        <f>L339+L352</f>
        <v>3155.24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20000</v>
      </c>
      <c r="H398" s="18">
        <v>3.78</v>
      </c>
      <c r="I398" s="18"/>
      <c r="J398" s="24" t="s">
        <v>288</v>
      </c>
      <c r="K398" s="24" t="s">
        <v>288</v>
      </c>
      <c r="L398" s="56">
        <f t="shared" si="26"/>
        <v>20003.78</v>
      </c>
      <c r="M398" s="8"/>
      <c r="N398" s="266"/>
    </row>
    <row r="399" spans="1:14" s="3" customFormat="1" ht="12.2" customHeight="1" x14ac:dyDescent="0.15">
      <c r="A399" s="79" t="s">
        <v>558</v>
      </c>
      <c r="B399" s="2" t="s">
        <v>381</v>
      </c>
      <c r="C399" s="6">
        <v>11</v>
      </c>
      <c r="D399" s="2" t="s">
        <v>432</v>
      </c>
      <c r="E399" s="6"/>
      <c r="F399" s="18"/>
      <c r="G399" s="18">
        <v>0</v>
      </c>
      <c r="H399" s="18">
        <v>2.0699999999999998</v>
      </c>
      <c r="I399" s="18"/>
      <c r="J399" s="24" t="s">
        <v>288</v>
      </c>
      <c r="K399" s="24" t="s">
        <v>288</v>
      </c>
      <c r="L399" s="56">
        <f t="shared" si="26"/>
        <v>2.0699999999999998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5.85</v>
      </c>
      <c r="I402" s="47">
        <f>SUM(I396:I401)</f>
        <v>0</v>
      </c>
      <c r="J402" s="45" t="s">
        <v>288</v>
      </c>
      <c r="K402" s="45" t="s">
        <v>288</v>
      </c>
      <c r="L402" s="47">
        <f>SUM(L396:L401)</f>
        <v>20005.849999999999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5.85</v>
      </c>
      <c r="I409" s="47">
        <f>I394+I402+I408</f>
        <v>0</v>
      </c>
      <c r="J409" s="24" t="s">
        <v>288</v>
      </c>
      <c r="K409" s="24" t="s">
        <v>288</v>
      </c>
      <c r="L409" s="47">
        <f>L394+L402+L408</f>
        <v>20005.849999999999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v>0</v>
      </c>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v>0</v>
      </c>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151408.56</v>
      </c>
      <c r="H440" s="18"/>
      <c r="I440" s="56">
        <f t="shared" ref="I440:I446" si="33">SUM(F440:H440)</f>
        <v>151408.56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151408.56</v>
      </c>
      <c r="H447" s="13">
        <f>SUM(H440:H446)</f>
        <v>0</v>
      </c>
      <c r="I447" s="13">
        <f>SUM(I440:I446)</f>
        <v>151408.56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151408.56</v>
      </c>
      <c r="H460" s="18"/>
      <c r="I460" s="56">
        <f t="shared" si="34"/>
        <v>151408.56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151408.56</v>
      </c>
      <c r="H461" s="83">
        <f>SUM(H455:H460)</f>
        <v>0</v>
      </c>
      <c r="I461" s="83">
        <f>SUM(I455:I460)</f>
        <v>151408.56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151408.56</v>
      </c>
      <c r="H462" s="42">
        <f>H453+H461</f>
        <v>0</v>
      </c>
      <c r="I462" s="42">
        <f>I453+I461</f>
        <v>151408.56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184259.42</v>
      </c>
      <c r="G466" s="18"/>
      <c r="H466" s="18">
        <v>0</v>
      </c>
      <c r="I466" s="18"/>
      <c r="J466" s="18">
        <v>131402.71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816067.79</v>
      </c>
      <c r="G469" s="18"/>
      <c r="H469" s="18">
        <v>3155.24</v>
      </c>
      <c r="I469" s="18"/>
      <c r="J469" s="18">
        <v>20005.849999999999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816067.79</v>
      </c>
      <c r="G471" s="53">
        <f>SUM(G469:G470)</f>
        <v>0</v>
      </c>
      <c r="H471" s="53">
        <f>SUM(H469:H470)</f>
        <v>3155.24</v>
      </c>
      <c r="I471" s="53">
        <f>SUM(I469:I470)</f>
        <v>0</v>
      </c>
      <c r="J471" s="53">
        <f>SUM(J469:J470)</f>
        <v>20005.849999999999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740324.44</v>
      </c>
      <c r="G473" s="18"/>
      <c r="H473" s="18">
        <v>3155.24</v>
      </c>
      <c r="I473" s="18"/>
      <c r="J473" s="18">
        <v>0</v>
      </c>
      <c r="K473" s="24" t="s">
        <v>288</v>
      </c>
      <c r="L473" s="24" t="s">
        <v>288</v>
      </c>
      <c r="N473" s="265"/>
    </row>
    <row r="474" spans="1:14" s="52" customFormat="1" ht="12.2" customHeight="1" x14ac:dyDescent="0.2">
      <c r="A474" s="93" t="s">
        <v>613</v>
      </c>
      <c r="B474" s="75">
        <v>19</v>
      </c>
      <c r="C474" s="80">
        <v>6</v>
      </c>
      <c r="D474" s="2" t="s">
        <v>432</v>
      </c>
      <c r="E474" s="80"/>
      <c r="F474" s="18">
        <v>24131.919999999998</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764456.36</v>
      </c>
      <c r="G475" s="53">
        <f>SUM(G473:G474)</f>
        <v>0</v>
      </c>
      <c r="H475" s="53">
        <f>SUM(H473:H474)</f>
        <v>3155.24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235870.85000000009</v>
      </c>
      <c r="G477" s="53">
        <f>(G466+G471)- G475</f>
        <v>0</v>
      </c>
      <c r="H477" s="53">
        <f>(H466+H471)- H475</f>
        <v>0</v>
      </c>
      <c r="I477" s="53">
        <f>(I466+I471)- I475</f>
        <v>0</v>
      </c>
      <c r="J477" s="53">
        <f>(J466+J471)- J475</f>
        <v>151408.56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135587.43</v>
      </c>
      <c r="I522" s="18"/>
      <c r="J522" s="18"/>
      <c r="K522" s="18"/>
      <c r="L522" s="88">
        <f>SUM(F522:K522)</f>
        <v>135587.43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0</v>
      </c>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135587.43</v>
      </c>
      <c r="I525" s="108">
        <f t="shared" si="36"/>
        <v>0</v>
      </c>
      <c r="J525" s="108">
        <f t="shared" si="36"/>
        <v>0</v>
      </c>
      <c r="K525" s="108">
        <f t="shared" si="36"/>
        <v>0</v>
      </c>
      <c r="L525" s="89">
        <f t="shared" si="36"/>
        <v>135587.43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18853.21</v>
      </c>
      <c r="I527" s="18"/>
      <c r="J527" s="18"/>
      <c r="K527" s="18"/>
      <c r="L527" s="88">
        <f>SUM(F527:K527)</f>
        <v>18853.21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0</v>
      </c>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18853.21</v>
      </c>
      <c r="I530" s="89">
        <f t="shared" si="37"/>
        <v>0</v>
      </c>
      <c r="J530" s="89">
        <f t="shared" si="37"/>
        <v>0</v>
      </c>
      <c r="K530" s="89">
        <f t="shared" si="37"/>
        <v>0</v>
      </c>
      <c r="L530" s="89">
        <f t="shared" si="37"/>
        <v>18853.21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1505.35</v>
      </c>
      <c r="I532" s="18"/>
      <c r="J532" s="18"/>
      <c r="K532" s="18"/>
      <c r="L532" s="88">
        <f>SUM(F532:K532)</f>
        <v>1505.35</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741.43</v>
      </c>
      <c r="I534" s="18"/>
      <c r="J534" s="18"/>
      <c r="K534" s="18"/>
      <c r="L534" s="88">
        <f>SUM(F534:K534)</f>
        <v>741.43</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2246.7799999999997</v>
      </c>
      <c r="I535" s="89">
        <f t="shared" si="38"/>
        <v>0</v>
      </c>
      <c r="J535" s="89">
        <f t="shared" si="38"/>
        <v>0</v>
      </c>
      <c r="K535" s="89">
        <f t="shared" si="38"/>
        <v>0</v>
      </c>
      <c r="L535" s="89">
        <f t="shared" si="38"/>
        <v>2246.7799999999997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4142.3100000000004</v>
      </c>
      <c r="I542" s="18"/>
      <c r="J542" s="18"/>
      <c r="K542" s="18"/>
      <c r="L542" s="88">
        <f>SUM(F542:K542)</f>
        <v>4142.3100000000004</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2040.24</v>
      </c>
      <c r="I544" s="18"/>
      <c r="J544" s="18"/>
      <c r="K544" s="18"/>
      <c r="L544" s="88">
        <f>SUM(F544:K544)</f>
        <v>2040.24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6182.55</v>
      </c>
      <c r="I545" s="193">
        <f t="shared" si="40"/>
        <v>0</v>
      </c>
      <c r="J545" s="193">
        <f t="shared" si="40"/>
        <v>0</v>
      </c>
      <c r="K545" s="193">
        <f t="shared" si="40"/>
        <v>0</v>
      </c>
      <c r="L545" s="193">
        <f t="shared" si="40"/>
        <v>6182.55</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162869.96999999997</v>
      </c>
      <c r="I546" s="89">
        <f t="shared" si="41"/>
        <v>0</v>
      </c>
      <c r="J546" s="89">
        <f t="shared" si="41"/>
        <v>0</v>
      </c>
      <c r="K546" s="89">
        <f t="shared" si="41"/>
        <v>0</v>
      </c>
      <c r="L546" s="89">
        <f t="shared" si="41"/>
        <v>162869.96999999997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135587.43</v>
      </c>
      <c r="G550" s="87">
        <f>L527</f>
        <v>18853.21</v>
      </c>
      <c r="H550" s="87">
        <f>L532</f>
        <v>1505.35</v>
      </c>
      <c r="I550" s="87">
        <f>L537</f>
        <v>0</v>
      </c>
      <c r="J550" s="87">
        <f>L542</f>
        <v>4142.3100000000004</v>
      </c>
      <c r="K550" s="87">
        <f>SUM(F550:J550)</f>
        <v>160088.29999999999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741.43</v>
      </c>
      <c r="I552" s="87">
        <f>L539</f>
        <v>0</v>
      </c>
      <c r="J552" s="87">
        <f>L544</f>
        <v>2040.24</v>
      </c>
      <c r="K552" s="87">
        <f>SUM(F552:J552)</f>
        <v>2781.67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135587.43</v>
      </c>
      <c r="G553" s="89">
        <f t="shared" si="42"/>
        <v>18853.21</v>
      </c>
      <c r="H553" s="89">
        <f t="shared" si="42"/>
        <v>2246.7799999999997</v>
      </c>
      <c r="I553" s="89">
        <f t="shared" si="42"/>
        <v>0</v>
      </c>
      <c r="J553" s="89">
        <f t="shared" si="42"/>
        <v>6182.55</v>
      </c>
      <c r="K553" s="89">
        <f t="shared" si="42"/>
        <v>162869.97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292248.65999999997</v>
      </c>
      <c r="G577" s="18"/>
      <c r="H577" s="18">
        <v>192420.68</v>
      </c>
      <c r="I577" s="87">
        <f t="shared" ref="I577:I588" si="47">SUM(F577:H577)</f>
        <v>484669.33999999997</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113429.51</v>
      </c>
      <c r="G581" s="18"/>
      <c r="H581" s="18">
        <v>3243.59</v>
      </c>
      <c r="I581" s="87">
        <f t="shared" si="47"/>
        <v>116673.09999999999</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16094.92</v>
      </c>
      <c r="G583" s="18"/>
      <c r="H583" s="18"/>
      <c r="I583" s="87">
        <f t="shared" si="47"/>
        <v>16094.92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37936.089999999997</v>
      </c>
      <c r="I592" s="18"/>
      <c r="J592" s="18">
        <v>18684.939999999999</v>
      </c>
      <c r="K592" s="104">
        <f t="shared" ref="K592:K598" si="48">SUM(H592:J592)</f>
        <v>56621.03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4142.3100000000004</v>
      </c>
      <c r="I593" s="18"/>
      <c r="J593" s="18">
        <v>2040.24</v>
      </c>
      <c r="K593" s="104">
        <f t="shared" si="48"/>
        <v>6182.55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42078.399999999994</v>
      </c>
      <c r="I599" s="108">
        <f>SUM(I592:I598)</f>
        <v>0</v>
      </c>
      <c r="J599" s="108">
        <f>SUM(J592:J598)</f>
        <v>20725.18</v>
      </c>
      <c r="K599" s="108">
        <f>SUM(K592:K598)</f>
        <v>62803.58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257082.78</v>
      </c>
      <c r="H618" s="109">
        <f>SUM(F52)</f>
        <v>257082.78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151408.56</v>
      </c>
      <c r="H622" s="109">
        <f>SUM(J52)</f>
        <v>151408.56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235870.85</v>
      </c>
      <c r="H623" s="109">
        <f>F477</f>
        <v>235870.85000000009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151408.56</v>
      </c>
      <c r="H627" s="109">
        <f>J477</f>
        <v>151408.56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816067.79</v>
      </c>
      <c r="H628" s="104">
        <f>SUM(F469)</f>
        <v>816067.79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3155.24</v>
      </c>
      <c r="H630" s="104">
        <f>SUM(H469)</f>
        <v>3155.24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20005.849999999999</v>
      </c>
      <c r="H632" s="104">
        <f>SUM(J469)</f>
        <v>20005.849999999999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740324.44</v>
      </c>
      <c r="H633" s="104">
        <f>SUM(F473)</f>
        <v>740324.44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3155.24</v>
      </c>
      <c r="H634" s="104">
        <f>SUM(H473)</f>
        <v>3155.24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20005.849999999999</v>
      </c>
      <c r="H638" s="164">
        <f>SUM(J469)</f>
        <v>20005.849999999999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151408.56</v>
      </c>
      <c r="H641" s="104">
        <f>SUM(G462)</f>
        <v>151408.56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151408.56</v>
      </c>
      <c r="H643" s="104">
        <f>SUM(I462)</f>
        <v>151408.56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5.85</v>
      </c>
      <c r="H645" s="104">
        <f>H409</f>
        <v>5.85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20005.849999999999</v>
      </c>
      <c r="H647" s="104">
        <f>L409</f>
        <v>20005.849999999999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62803.58</v>
      </c>
      <c r="H648" s="104">
        <f>L209+L227+L245</f>
        <v>62803.579999999994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42078.399999999994</v>
      </c>
      <c r="H650" s="104">
        <f>H599</f>
        <v>42078.399999999994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20725.18</v>
      </c>
      <c r="H652" s="104">
        <f>J599</f>
        <v>20725.18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501044.44999999995</v>
      </c>
      <c r="G661" s="19">
        <f>(L230+L310+L360)</f>
        <v>0</v>
      </c>
      <c r="H661" s="19">
        <f>(L248+L329+L361)</f>
        <v>222435.22999999998</v>
      </c>
      <c r="I661" s="19">
        <f>SUM(F661:H661)</f>
        <v>723479.67999999993</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42213.569999999992</v>
      </c>
      <c r="G663" s="19">
        <f>(L227+L307)-(J227+J307)</f>
        <v>0</v>
      </c>
      <c r="H663" s="19">
        <f>(L245+L326)-(J245+J326)</f>
        <v>21699.71</v>
      </c>
      <c r="I663" s="19">
        <f>SUM(F663:H663)</f>
        <v>63913.279999999992</v>
      </c>
      <c r="J663"/>
      <c r="K663" s="13"/>
      <c r="L663" s="13"/>
      <c r="M663" s="9"/>
    </row>
    <row r="664" spans="1:13" s="3" customFormat="1" ht="12.2" customHeight="1" x14ac:dyDescent="0.15">
      <c r="A664" s="198" t="s">
        <v>129</v>
      </c>
      <c r="B664" s="169"/>
      <c r="C664" s="169"/>
      <c r="D664" s="169"/>
      <c r="E664" s="169"/>
      <c r="F664" s="199">
        <f>SUM(F576:F588)+SUM(H603:H605)+SUM(L612)</f>
        <v>421773.08999999997</v>
      </c>
      <c r="G664" s="199">
        <f>SUM(G576:G588)+SUM(I603:I605)+L613</f>
        <v>0</v>
      </c>
      <c r="H664" s="199">
        <f>SUM(H576:H588)+SUM(J603:J605)+L614</f>
        <v>195664.27</v>
      </c>
      <c r="I664" s="19">
        <f>SUM(F664:H664)</f>
        <v>617437.36</v>
      </c>
      <c r="J664" s="13"/>
      <c r="K664" s="13"/>
      <c r="L664" s="13"/>
      <c r="M664" s="9"/>
    </row>
    <row r="665" spans="1:13" s="3" customFormat="1" ht="12.2" customHeight="1" x14ac:dyDescent="0.15">
      <c r="A665" s="1" t="s">
        <v>130</v>
      </c>
      <c r="F665" s="19">
        <f>F661-SUM(F662:F664)</f>
        <v>37057.789999999979</v>
      </c>
      <c r="G665" s="19">
        <f>G661-SUM(G662:G664)</f>
        <v>0</v>
      </c>
      <c r="H665" s="19">
        <f>H661-SUM(H662:H664)</f>
        <v>5071.25</v>
      </c>
      <c r="I665" s="19">
        <f>I661-SUM(I662:I664)</f>
        <v>42129.039999999921</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-37057.79</v>
      </c>
      <c r="G670" s="18"/>
      <c r="H670" s="18">
        <v>-5071.25</v>
      </c>
      <c r="I670" s="19">
        <f>SUM(F670:H670)</f>
        <v>-42129.04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5" zoomScaleNormal="100" workbookViewId="0">
      <selection activeCell="H24" sqref="H24"/>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3155.24</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3155.24</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v>3155.24</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 xml:space="preserve">                  CHATHAM SCHOOL LDISTRICT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CHATHAM SCHOOL LDISTRICT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7"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 xml:space="preserve">                  CHATHAM SCHOOL LDISTRICT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623500.36</v>
      </c>
      <c r="D5" s="20">
        <f>SUM('DOE25'!L198:L201)+SUM('DOE25'!L216:L219)+SUM('DOE25'!L234:L237)-F5-G5-H5</f>
        <v>623500.36</v>
      </c>
      <c r="E5" s="243"/>
      <c r="F5" s="244"/>
      <c r="G5" s="53">
        <f>SUM('DOE25'!J198:J201)+SUM('DOE25'!J216:J219)+SUM('DOE25'!J234:J237)</f>
        <v>0</v>
      </c>
      <c r="H5" s="53">
        <f>SUM('DOE25'!K198:K201)+SUM('DOE25'!K216:K219)+SUM('DOE25'!K234:K237)</f>
        <v>0</v>
      </c>
      <c r="I5" s="256"/>
    </row>
    <row r="6" spans="1:9" x14ac:dyDescent="0.2">
      <c r="A6" s="32">
        <v>2100</v>
      </c>
      <c r="B6" t="s">
        <v>796</v>
      </c>
      <c r="C6" s="275">
        <f t="shared" si="0"/>
        <v>18853.21</v>
      </c>
      <c r="D6" s="20">
        <f>'DOE25'!L203+'DOE25'!L221+'DOE25'!L239-F6-G6-H6</f>
        <v>18853.21</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9510.9999999999964</v>
      </c>
      <c r="D8" s="243"/>
      <c r="E8" s="20">
        <f>'DOE25'!L205+'DOE25'!L223+'DOE25'!L241-F8-G8-H8-D9-D11</f>
        <v>9510.9999999999964</v>
      </c>
      <c r="F8" s="244"/>
      <c r="G8" s="53">
        <f>'DOE25'!J205+'DOE25'!J223+'DOE25'!J241</f>
        <v>0</v>
      </c>
      <c r="H8" s="53">
        <f>'DOE25'!K205+'DOE25'!K223+'DOE25'!K241</f>
        <v>0</v>
      </c>
      <c r="I8" s="256"/>
    </row>
    <row r="9" spans="1:9" ht="14.25" x14ac:dyDescent="0.2">
      <c r="A9" s="32">
        <v>2310</v>
      </c>
      <c r="B9" s="185" t="s">
        <v>888</v>
      </c>
      <c r="C9" s="275">
        <f t="shared" si="0"/>
        <v>2081.29</v>
      </c>
      <c r="D9" s="244">
        <v>2081.29</v>
      </c>
      <c r="E9" s="243"/>
      <c r="F9" s="253"/>
      <c r="G9" s="253"/>
      <c r="H9" s="253"/>
      <c r="I9" s="256"/>
    </row>
    <row r="10" spans="1:9" ht="14.25" x14ac:dyDescent="0.2">
      <c r="A10" s="32">
        <v>2317</v>
      </c>
      <c r="B10" s="185" t="s">
        <v>889</v>
      </c>
      <c r="C10" s="275">
        <f t="shared" si="0"/>
        <v>100</v>
      </c>
      <c r="D10" s="243"/>
      <c r="E10" s="244">
        <v>100</v>
      </c>
      <c r="F10" s="253"/>
      <c r="G10" s="253"/>
      <c r="H10" s="253"/>
      <c r="I10" s="256"/>
    </row>
    <row r="11" spans="1:9" ht="14.25" x14ac:dyDescent="0.2">
      <c r="A11" s="32">
        <v>2321</v>
      </c>
      <c r="B11" s="185" t="s">
        <v>890</v>
      </c>
      <c r="C11" s="275">
        <f t="shared" si="0"/>
        <v>3575</v>
      </c>
      <c r="D11" s="244">
        <v>3575</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62803.579999999994</v>
      </c>
      <c r="D15" s="20">
        <f>'DOE25'!L209+'DOE25'!L227+'DOE25'!L245-F15-G15-H15</f>
        <v>31535.469999999994</v>
      </c>
      <c r="E15" s="243"/>
      <c r="F15" s="244">
        <v>31268.11</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3155.24</v>
      </c>
      <c r="D31" s="20">
        <f>'DOE25'!L291+'DOE25'!L310+'DOE25'!L329+'DOE25'!L334+'DOE25'!L335+'DOE25'!L336-F31-G31-H31</f>
        <v>3155.24</v>
      </c>
      <c r="E31" s="243"/>
      <c r="F31" s="244">
        <v>0</v>
      </c>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682700.57</v>
      </c>
      <c r="E33" s="245">
        <f t="shared" si="1"/>
        <v>9610.9999999999964</v>
      </c>
      <c r="F33" s="245">
        <f t="shared" si="1"/>
        <v>31268.11</v>
      </c>
      <c r="G33" s="245">
        <f t="shared" si="1"/>
        <v>0</v>
      </c>
      <c r="H33" s="245">
        <f t="shared" si="1"/>
        <v>0</v>
      </c>
      <c r="I33" s="245">
        <f t="shared" si="1"/>
        <v>0</v>
      </c>
    </row>
    <row r="35" spans="1:9" ht="12" thickBot="1" x14ac:dyDescent="0.25">
      <c r="B35" s="251" t="s">
        <v>831</v>
      </c>
      <c r="D35" s="252">
        <f>E33</f>
        <v>9610.9999999999964</v>
      </c>
      <c r="E35" s="248"/>
      <c r="F35" s="335" t="s">
        <v>1632</v>
      </c>
      <c r="G35" s="336"/>
      <c r="H35" s="336"/>
      <c r="I35" s="336"/>
    </row>
    <row r="36" spans="1:9" ht="12" thickTop="1" x14ac:dyDescent="0.2">
      <c r="B36" t="s">
        <v>810</v>
      </c>
      <c r="D36" s="20">
        <f>D33</f>
        <v>682700.57</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M22" sqref="M2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 xml:space="preserve">                  CHATHAM SCHOOL LDISTRICT</v>
      </c>
      <c r="B2" s="126">
        <f>'DOE25'!B2</f>
        <v>91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501044.45</v>
      </c>
      <c r="G4" s="302">
        <f>'DOE25'!L212+'DOE25'!L291</f>
        <v>501044.44999999995</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498930.31</v>
      </c>
      <c r="E5" s="293">
        <v>2114.14</v>
      </c>
      <c r="F5" s="306">
        <f>D5+E5</f>
        <v>501044.45</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498930.31</v>
      </c>
      <c r="E21" s="353">
        <f>SUM(E5:E20)</f>
        <v>2114.14</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222435.23</v>
      </c>
      <c r="G36" s="302">
        <f>'DOE25'!L248+'DOE25'!L329</f>
        <v>222435.22999999998</v>
      </c>
      <c r="H36" s="355">
        <f>IF(AND(D43='DOE25'!L248,'School Level Expenditures'!E43='DOE25'!L329),'School Level Expenditures'!F36-'School Level Expenditures'!G36,"Does not match page 7 or 11 totals!!")</f>
        <v>2.9103830456733704E-11</v>
      </c>
      <c r="I36" s="372" t="str">
        <f>IF(H36=0,"","ISSUES!! Please review page 9 and 13 totals in comparison with total on this page")</f>
        <v>ISSUES!! Please review page 9 and 13 totals in comparison with total on this page</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221394.13</v>
      </c>
      <c r="E37" s="293">
        <v>1041.0999999999999</v>
      </c>
      <c r="F37" s="306">
        <f t="shared" ref="F37:F42" si="2">D37+E37</f>
        <v>222435.23</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221394.13</v>
      </c>
      <c r="E43" s="354">
        <f>SUM(E37:E42)</f>
        <v>1041.0999999999999</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CHATHAM SCHOOL LDISTRICT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257082.78</v>
      </c>
      <c r="D8" s="95">
        <f>'DOE25'!G9</f>
        <v>0</v>
      </c>
      <c r="E8" s="95">
        <f>'DOE25'!H9</f>
        <v>0</v>
      </c>
      <c r="F8" s="95">
        <f>'DOE25'!I9</f>
        <v>0</v>
      </c>
      <c r="G8" s="95">
        <f>'DOE25'!J9</f>
        <v>151408.56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257082.78</v>
      </c>
      <c r="D18" s="41">
        <f>SUM(D8:D17)</f>
        <v>0</v>
      </c>
      <c r="E18" s="41">
        <f>SUM(E8:E17)</f>
        <v>0</v>
      </c>
      <c r="F18" s="41">
        <f>SUM(F8:F17)</f>
        <v>0</v>
      </c>
      <c r="G18" s="41">
        <f>SUM(G8:G17)</f>
        <v>151408.56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8842.74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12369.19</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21211.93</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17080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151408.56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218790.85</v>
      </c>
      <c r="D49" s="24" t="s">
        <v>288</v>
      </c>
      <c r="E49" s="24" t="s">
        <v>288</v>
      </c>
      <c r="F49" s="24" t="s">
        <v>288</v>
      </c>
      <c r="G49" s="24" t="s">
        <v>288</v>
      </c>
      <c r="H49" s="124"/>
      <c r="I49" s="124"/>
    </row>
    <row r="50" spans="1:9" ht="12.75" thickTop="1" thickBot="1" x14ac:dyDescent="0.25">
      <c r="A50" s="38" t="s">
        <v>884</v>
      </c>
      <c r="B50" s="48"/>
      <c r="C50" s="41">
        <f>SUM(C34:C49)</f>
        <v>235870.85</v>
      </c>
      <c r="D50" s="41">
        <f>SUM(D34:D49)</f>
        <v>0</v>
      </c>
      <c r="E50" s="41">
        <f>SUM(E34:E49)</f>
        <v>0</v>
      </c>
      <c r="F50" s="41">
        <f>SUM(F34:F49)</f>
        <v>0</v>
      </c>
      <c r="G50" s="41">
        <f>SUM(G34:G49)</f>
        <v>151408.56</v>
      </c>
      <c r="H50" s="124"/>
      <c r="I50" s="124"/>
    </row>
    <row r="51" spans="1:9" ht="12" thickTop="1" x14ac:dyDescent="0.2">
      <c r="A51" s="38" t="s">
        <v>885</v>
      </c>
      <c r="B51" s="2"/>
      <c r="C51" s="41">
        <f>C50+C31</f>
        <v>257082.78</v>
      </c>
      <c r="D51" s="41">
        <f>D50+D31</f>
        <v>0</v>
      </c>
      <c r="E51" s="41">
        <f>E50+E31</f>
        <v>0</v>
      </c>
      <c r="F51" s="41">
        <f>F50+F31</f>
        <v>0</v>
      </c>
      <c r="G51" s="41">
        <f>G50+G31</f>
        <v>151408.56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577332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15.53</v>
      </c>
      <c r="D59" s="95">
        <f>'DOE25'!G96</f>
        <v>0</v>
      </c>
      <c r="E59" s="95">
        <f>'DOE25'!H96</f>
        <v>0</v>
      </c>
      <c r="F59" s="95">
        <f>'DOE25'!I96</f>
        <v>0</v>
      </c>
      <c r="G59" s="95">
        <f>'DOE25'!J96</f>
        <v>5.85</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213.34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228.87</v>
      </c>
      <c r="D62" s="130">
        <f>SUM(D57:D61)</f>
        <v>0</v>
      </c>
      <c r="E62" s="130">
        <f>SUM(E57:E61)</f>
        <v>0</v>
      </c>
      <c r="F62" s="130">
        <f>SUM(F57:F61)</f>
        <v>0</v>
      </c>
      <c r="G62" s="130">
        <f>SUM(G57:G61)</f>
        <v>5.85</v>
      </c>
      <c r="H62"/>
      <c r="I62"/>
    </row>
    <row r="63" spans="1:9" ht="12" thickTop="1" x14ac:dyDescent="0.2">
      <c r="A63" s="29" t="s">
        <v>175</v>
      </c>
      <c r="B63" s="6"/>
      <c r="C63" s="22">
        <f>C56+C62</f>
        <v>577560.87</v>
      </c>
      <c r="D63" s="22">
        <f>D56+D62</f>
        <v>0</v>
      </c>
      <c r="E63" s="22">
        <f>E56+E62</f>
        <v>0</v>
      </c>
      <c r="F63" s="22">
        <f>F56+F62</f>
        <v>0</v>
      </c>
      <c r="G63" s="22">
        <f>G56+G62</f>
        <v>5.85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118493</v>
      </c>
      <c r="D66" s="24" t="s">
        <v>288</v>
      </c>
      <c r="E66" s="24" t="s">
        <v>288</v>
      </c>
      <c r="F66" s="24" t="s">
        <v>288</v>
      </c>
      <c r="G66" s="24" t="s">
        <v>288</v>
      </c>
      <c r="H66"/>
      <c r="I66"/>
    </row>
    <row r="67" spans="1:9" x14ac:dyDescent="0.2">
      <c r="A67" s="1" t="s">
        <v>770</v>
      </c>
      <c r="B67" s="6">
        <v>3112</v>
      </c>
      <c r="C67" s="95">
        <f>'DOE25'!F118</f>
        <v>105882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224375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224375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3155.24</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14131.92</v>
      </c>
      <c r="D90" s="24" t="s">
        <v>288</v>
      </c>
      <c r="E90" s="24" t="s">
        <v>288</v>
      </c>
      <c r="F90" s="24" t="s">
        <v>288</v>
      </c>
      <c r="G90" s="24" t="s">
        <v>288</v>
      </c>
    </row>
    <row r="91" spans="1:9" ht="12.75" thickTop="1" thickBot="1" x14ac:dyDescent="0.25">
      <c r="A91" s="33" t="s">
        <v>750</v>
      </c>
      <c r="C91" s="131">
        <f>SUM(C85:C90)</f>
        <v>14131.92</v>
      </c>
      <c r="D91" s="131">
        <f>SUM(D85:D90)</f>
        <v>0</v>
      </c>
      <c r="E91" s="131">
        <f>SUM(E85:E90)</f>
        <v>3155.24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816067.79</v>
      </c>
      <c r="D104" s="86">
        <f>D63+D81+D91+D103</f>
        <v>0</v>
      </c>
      <c r="E104" s="86">
        <f>E63+E81+E91+E103</f>
        <v>3155.24</v>
      </c>
      <c r="F104" s="86">
        <f>F63+F81+F91+F103</f>
        <v>0</v>
      </c>
      <c r="G104" s="86">
        <f>G63+G81+G103</f>
        <v>20005.849999999999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484669.33999999997</v>
      </c>
      <c r="D109" s="24" t="s">
        <v>288</v>
      </c>
      <c r="E109" s="95">
        <f>('DOE25'!L277)+('DOE25'!L296)+('DOE25'!L315)</f>
        <v>0</v>
      </c>
      <c r="F109" s="24" t="s">
        <v>288</v>
      </c>
      <c r="G109" s="24" t="s">
        <v>288</v>
      </c>
    </row>
    <row r="110" spans="1:7" x14ac:dyDescent="0.2">
      <c r="A110" t="s">
        <v>198</v>
      </c>
      <c r="B110" s="32" t="s">
        <v>199</v>
      </c>
      <c r="C110" s="95">
        <f>('DOE25'!L199)+('DOE25'!L217)+('DOE25'!L235)</f>
        <v>138831.01999999999</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623500.36</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18853.21</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15167.289999999997</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66.569999999999993</v>
      </c>
      <c r="F123" s="24" t="s">
        <v>288</v>
      </c>
      <c r="G123" s="24" t="s">
        <v>288</v>
      </c>
    </row>
    <row r="124" spans="1:7" x14ac:dyDescent="0.2">
      <c r="A124" t="s">
        <v>218</v>
      </c>
      <c r="B124" s="32" t="s">
        <v>219</v>
      </c>
      <c r="C124" s="95">
        <f>('DOE25'!L209)+('DOE25'!L227)+('DOE25'!L245+'DOE25'!L255)</f>
        <v>62803.579999999994</v>
      </c>
      <c r="D124" s="24" t="s">
        <v>288</v>
      </c>
      <c r="E124" s="95">
        <f>+('DOE25'!L288)+('DOE25'!L307)+('DOE25'!L326)</f>
        <v>1109.7</v>
      </c>
      <c r="F124" s="24" t="s">
        <v>288</v>
      </c>
      <c r="G124" s="24" t="s">
        <v>288</v>
      </c>
    </row>
    <row r="125" spans="1:7" x14ac:dyDescent="0.2">
      <c r="A125" t="s">
        <v>220</v>
      </c>
      <c r="B125" s="32" t="s">
        <v>221</v>
      </c>
      <c r="C125" s="95">
        <f>('DOE25'!L210)+('DOE25'!L228)+('DOE25'!L246)</f>
        <v>0</v>
      </c>
      <c r="D125" s="24" t="s">
        <v>288</v>
      </c>
      <c r="E125" s="95">
        <f>+('DOE25'!L289)+('DOE25'!L308)+('DOE25'!L327)</f>
        <v>1978.97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96824.079999999987</v>
      </c>
      <c r="D128" s="86">
        <f>SUM(D118:D127)</f>
        <v>0</v>
      </c>
      <c r="E128" s="86">
        <f>SUM(E118:E127)</f>
        <v>3155.24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20005.849999999999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-5.8499999999985448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20000</v>
      </c>
      <c r="D144" s="141">
        <f>SUM(D130:D143)</f>
        <v>0</v>
      </c>
      <c r="E144" s="141">
        <f>SUM(E130:E143)</f>
        <v>0</v>
      </c>
      <c r="F144" s="141">
        <f>SUM(F130:F143)</f>
        <v>0</v>
      </c>
      <c r="G144" s="141">
        <f>SUM(G130:G143)</f>
        <v>0</v>
      </c>
    </row>
    <row r="145" spans="1:9" ht="12.75" thickTop="1" thickBot="1" x14ac:dyDescent="0.25">
      <c r="A145" s="33" t="s">
        <v>244</v>
      </c>
      <c r="C145" s="86">
        <f>(C115+C128+C144)</f>
        <v>740324.44</v>
      </c>
      <c r="D145" s="86">
        <f>(D115+D128+D144)</f>
        <v>0</v>
      </c>
      <c r="E145" s="86">
        <f>(E115+E128+E144)</f>
        <v>3155.24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 xml:space="preserve">                  CHATHAM SCHOOL LDISTRICT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484669</v>
      </c>
      <c r="D10" s="182">
        <f>ROUND((C10/$C$28)*100,1)</f>
        <v>67</v>
      </c>
    </row>
    <row r="11" spans="1:4" x14ac:dyDescent="0.2">
      <c r="A11">
        <v>1200</v>
      </c>
      <c r="B11" t="s">
        <v>703</v>
      </c>
      <c r="C11" s="179">
        <f>ROUND('DOE25'!L199+'DOE25'!L217+'DOE25'!L235+'DOE25'!L278+'DOE25'!L297+'DOE25'!L316,0)</f>
        <v>138831</v>
      </c>
      <c r="D11" s="182">
        <f>ROUND((C11/$C$28)*100,1)</f>
        <v>19.2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18853</v>
      </c>
      <c r="D15" s="182">
        <f t="shared" ref="D15:D27" si="0">ROUND((C15/$C$28)*100,1)</f>
        <v>2.6</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17146</v>
      </c>
      <c r="D17" s="182">
        <f t="shared" si="0"/>
        <v>2.4</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67</v>
      </c>
      <c r="D20" s="182">
        <f t="shared" si="0"/>
        <v>0</v>
      </c>
    </row>
    <row r="21" spans="1:4" x14ac:dyDescent="0.2">
      <c r="A21">
        <v>2700</v>
      </c>
      <c r="B21" t="s">
        <v>710</v>
      </c>
      <c r="C21" s="179">
        <f>ROUND('DOE25'!L209+'DOE25'!L227+'DOE25'!L245+'DOE25'!L288+'DOE25'!L307+'DOE25'!L326,0)</f>
        <v>63913</v>
      </c>
      <c r="D21" s="182">
        <f t="shared" si="0"/>
        <v>8.8000000000000007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723479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723479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577332</v>
      </c>
      <c r="D35" s="182">
        <f t="shared" ref="D35:D40" si="1">ROUND((C35/$C$41)*100,1)</f>
        <v>70.5</v>
      </c>
    </row>
    <row r="36" spans="1:4" x14ac:dyDescent="0.2">
      <c r="B36" s="185" t="s">
        <v>739</v>
      </c>
      <c r="C36" s="179">
        <f>SUM('DOE25'!F112:J112)-SUM('DOE25'!G97:G110)+('DOE25'!F175+'DOE25'!F176+'DOE25'!I175+'DOE25'!I176)-C35</f>
        <v>234.71999999997206</v>
      </c>
      <c r="D36" s="182">
        <f t="shared" si="1"/>
        <v>0</v>
      </c>
    </row>
    <row r="37" spans="1:4" x14ac:dyDescent="0.2">
      <c r="A37" s="183" t="s">
        <v>835</v>
      </c>
      <c r="B37" s="185" t="s">
        <v>728</v>
      </c>
      <c r="C37" s="179">
        <f>ROUND('DOE25'!F117+'DOE25'!F118,0)</f>
        <v>224375</v>
      </c>
      <c r="D37" s="182">
        <f t="shared" si="1"/>
        <v>27.4</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17287</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819228.72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 xml:space="preserve">                  CHATHAM SCHOOL LDISTRICT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v>19</v>
      </c>
      <c r="B4" s="219">
        <v>6</v>
      </c>
      <c r="C4" s="377" t="s">
        <v>1676</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t="s">
        <v>1673</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t="s">
        <v>1674</v>
      </c>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t="s">
        <v>1675</v>
      </c>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2021-09-01T20:43:18Z</cp:lastPrinted>
  <dcterms:created xsi:type="dcterms:W3CDTF">1997-12-04T19:04:30Z</dcterms:created>
  <dcterms:modified xsi:type="dcterms:W3CDTF">2021-12-03T16:07:44Z</dcterms:modified>
</cp:coreProperties>
</file>