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activeTab="7"/>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0" i="17" l="1"/>
  <c r="E26" i="17"/>
  <c r="E24" i="17"/>
  <c r="E28" i="17"/>
  <c r="E22" i="17"/>
  <c r="F50" i="1" l="1"/>
  <c r="F12" i="1"/>
  <c r="F473" i="1"/>
  <c r="J469" i="1" l="1"/>
  <c r="F135" i="1" l="1"/>
  <c r="D11" i="13" l="1"/>
  <c r="C37" i="12"/>
  <c r="B37" i="12"/>
  <c r="C19" i="12"/>
  <c r="C20" i="12"/>
  <c r="C21" i="12"/>
  <c r="B20" i="12"/>
  <c r="B19" i="12"/>
  <c r="C10" i="12"/>
  <c r="B10" i="12"/>
  <c r="C11" i="12"/>
  <c r="B12" i="12"/>
  <c r="H605" i="1"/>
  <c r="J527" i="1"/>
  <c r="I527" i="1"/>
  <c r="H527" i="1"/>
  <c r="G527" i="1"/>
  <c r="F527" i="1"/>
  <c r="H522" i="1"/>
  <c r="G522" i="1"/>
  <c r="F522" i="1"/>
  <c r="J593" i="1"/>
  <c r="H592" i="1"/>
  <c r="H542" i="1"/>
  <c r="H544" i="1"/>
  <c r="H537" i="1"/>
  <c r="H532" i="1"/>
  <c r="G532" i="1"/>
  <c r="F532" i="1"/>
  <c r="F469" i="1" l="1"/>
  <c r="F13" i="1"/>
  <c r="F287" i="1" l="1"/>
  <c r="H287" i="1"/>
  <c r="I287" i="1"/>
  <c r="I277" i="1"/>
  <c r="I283" i="1"/>
  <c r="I282" i="1"/>
  <c r="J283" i="1"/>
  <c r="H282" i="1"/>
  <c r="G287" i="1"/>
  <c r="H283" i="1"/>
  <c r="G282" i="1"/>
  <c r="F282" i="1"/>
  <c r="G278" i="1"/>
  <c r="F278" i="1"/>
  <c r="G277" i="1"/>
  <c r="F277" i="1"/>
  <c r="H278" i="1"/>
  <c r="H162" i="1"/>
  <c r="G283" i="1"/>
  <c r="F283" i="1"/>
  <c r="H155" i="1"/>
  <c r="H159" i="1"/>
  <c r="H154" i="1"/>
  <c r="H209" i="1" l="1"/>
  <c r="H245" i="1"/>
  <c r="H208" i="1"/>
  <c r="H206" i="1"/>
  <c r="F205" i="1"/>
  <c r="G205" i="1"/>
  <c r="H205" i="1"/>
  <c r="I205" i="1"/>
  <c r="K205" i="1"/>
  <c r="H204" i="1"/>
  <c r="H203" i="1"/>
  <c r="H201" i="1"/>
  <c r="H235" i="1"/>
  <c r="H199" i="1"/>
  <c r="H198" i="1" l="1"/>
  <c r="G198" i="1"/>
  <c r="F198" i="1"/>
  <c r="F110" i="1"/>
  <c r="F49" i="1"/>
  <c r="F24" i="1"/>
  <c r="F9" i="1"/>
  <c r="G469" i="1"/>
  <c r="H397" i="1"/>
  <c r="G40" i="1"/>
  <c r="F369" i="1"/>
  <c r="F368" i="1"/>
  <c r="K359" i="1"/>
  <c r="I359" i="1"/>
  <c r="G359" i="1"/>
  <c r="G158"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G62" i="2"/>
  <c r="I170" i="1"/>
  <c r="G339" i="1" l="1"/>
  <c r="G353" i="1" s="1"/>
  <c r="J140" i="1"/>
  <c r="E123" i="2"/>
  <c r="E110" i="2"/>
  <c r="D18" i="13"/>
  <c r="C18" i="13" s="1"/>
  <c r="D15" i="13"/>
  <c r="C15" i="13" s="1"/>
  <c r="C12" i="10"/>
  <c r="E119" i="2"/>
  <c r="D6" i="13"/>
  <c r="C6" i="13" s="1"/>
  <c r="E13" i="13"/>
  <c r="C13" i="13" s="1"/>
  <c r="J572" i="1"/>
  <c r="G477" i="1"/>
  <c r="E124" i="2"/>
  <c r="C13" i="10"/>
  <c r="J652" i="1"/>
  <c r="G553" i="1"/>
  <c r="J656" i="1"/>
  <c r="H477" i="1"/>
  <c r="H625" i="1" s="1"/>
  <c r="H663" i="1"/>
  <c r="C121" i="2"/>
  <c r="C120" i="2"/>
  <c r="J258" i="1"/>
  <c r="K353" i="1"/>
  <c r="G409" i="1"/>
  <c r="H646" i="1" s="1"/>
  <c r="J646" i="1" s="1"/>
  <c r="H409" i="1"/>
  <c r="H645" i="1" s="1"/>
  <c r="G662" i="1"/>
  <c r="D50" i="2"/>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H194" i="1" l="1"/>
  <c r="G630" i="1" s="1"/>
  <c r="J630" i="1" s="1"/>
  <c r="E51" i="2"/>
  <c r="L572" i="1"/>
  <c r="C81" i="2"/>
  <c r="C141" i="2"/>
  <c r="C144" i="2" s="1"/>
  <c r="F661" i="1"/>
  <c r="F665" i="1" s="1"/>
  <c r="F668" i="1" s="1"/>
  <c r="H661" i="1"/>
  <c r="H665" i="1" s="1"/>
  <c r="H668" i="1" s="1"/>
  <c r="F194" i="1"/>
  <c r="G628" i="1" s="1"/>
  <c r="J628" i="1" s="1"/>
  <c r="D51" i="2"/>
  <c r="F51" i="2"/>
  <c r="G36" i="14"/>
  <c r="H36" i="14" s="1"/>
  <c r="I36" i="14" s="1"/>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<sst xmlns="http://schemas.openxmlformats.org/spreadsheetml/2006/main" count="5574" uniqueCount="1674">
  <si>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</si>
  <si>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</si>
  <si>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</si>
  <si>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</si>
  <si>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</si>
  <si>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</si>
  <si>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</si>
  <si>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</si>
  <si>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</si>
  <si>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</si>
  <si>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</si>
  <si>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</si>
  <si>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</si>
  <si>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</si>
  <si>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</si>
  <si>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</si>
  <si>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</si>
  <si>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</si>
  <si>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</si>
  <si>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</si>
  <si>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</si>
  <si>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</si>
  <si>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</si>
  <si>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</si>
  <si>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</si>
  <si>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</si>
  <si>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</si>
  <si>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</si>
  <si>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</si>
  <si>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</si>
  <si>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</si>
  <si>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</si>
  <si>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</si>
  <si>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</si>
  <si>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</si>
  <si>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</si>
  <si>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</si>
  <si>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</si>
  <si>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</si>
  <si>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</si>
  <si>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</si>
  <si>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</si>
  <si>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</si>
  <si>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</si>
  <si>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</si>
  <si>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</si>
  <si>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</si>
  <si>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</si>
  <si>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</si>
  <si>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</si>
  <si>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</si>
  <si>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</si>
  <si>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</si>
  <si>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</si>
  <si>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</si>
  <si>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</si>
  <si>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</si>
  <si>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</si>
  <si>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</si>
  <si>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</si>
  <si>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</si>
  <si>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</si>
  <si>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</si>
  <si>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</si>
  <si>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</si>
  <si>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</si>
  <si>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</si>
  <si>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</si>
  <si>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</si>
  <si>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</si>
  <si>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</si>
  <si>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</si>
  <si>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</si>
  <si>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</si>
  <si>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</si>
  <si>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</si>
  <si>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</si>
  <si>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</si>
  <si>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</si>
  <si>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</si>
  <si>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</si>
  <si>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</si>
  <si>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</si>
  <si>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</si>
  <si>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</si>
  <si>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</si>
  <si>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</si>
  <si>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</si>
  <si>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</si>
  <si>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</si>
  <si>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</si>
  <si>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</si>
  <si>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</si>
  <si>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</si>
  <si>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</si>
  <si>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</si>
  <si>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</si>
  <si>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</si>
  <si>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</si>
  <si>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</si>
  <si>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</si>
  <si>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</si>
  <si>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</si>
  <si>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</si>
  <si>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</si>
  <si>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</si>
  <si>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</si>
  <si>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</si>
  <si>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</si>
  <si>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</si>
  <si>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</si>
  <si>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</si>
  <si>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</si>
  <si>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</si>
  <si>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</si>
  <si>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</si>
  <si>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</si>
  <si>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</si>
  <si>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</si>
  <si>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</si>
  <si>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</si>
  <si>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</si>
  <si>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</si>
  <si>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</si>
  <si>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</si>
  <si>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</si>
  <si>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</si>
  <si>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</si>
  <si>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</si>
  <si>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</si>
  <si>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</si>
  <si>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</si>
  <si>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</si>
  <si>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</si>
  <si>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</si>
  <si>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</si>
  <si>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</si>
  <si>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</si>
  <si>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</si>
  <si>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</si>
  <si>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</si>
  <si>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</si>
  <si>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</si>
  <si>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</si>
  <si>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</si>
  <si>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</si>
  <si>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</si>
  <si>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</si>
  <si>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</si>
  <si>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</si>
  <si>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</si>
  <si>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</si>
  <si>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</si>
  <si>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</si>
  <si>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</si>
  <si>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</si>
  <si>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</si>
  <si>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</si>
  <si>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</si>
  <si>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</si>
  <si>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</si>
  <si>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</si>
  <si>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</si>
  <si>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</si>
  <si>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</si>
  <si>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</si>
  <si>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</si>
  <si>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</si>
  <si>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</si>
  <si>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</si>
  <si>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</si>
  <si>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</si>
  <si>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</si>
  <si>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</si>
  <si>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</si>
  <si>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</si>
  <si>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</si>
  <si>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</si>
  <si>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</si>
  <si>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</si>
  <si>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</si>
  <si>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</si>
  <si>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</si>
  <si>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</si>
  <si>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</si>
  <si>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</si>
  <si>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</si>
  <si>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</si>
  <si>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</si>
  <si>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</si>
  <si>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</si>
  <si>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</si>
  <si>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</si>
  <si>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</si>
  <si>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</si>
  <si>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</si>
  <si>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</si>
  <si>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</si>
  <si>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</si>
  <si>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</si>
  <si>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</si>
  <si>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</si>
  <si>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</si>
  <si>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</si>
  <si>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</si>
  <si>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</si>
  <si>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</si>
  <si>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</si>
  <si>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</si>
  <si>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</si>
  <si>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</si>
  <si>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</si>
  <si>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</si>
  <si>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</si>
  <si>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</si>
  <si>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</si>
  <si>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</si>
  <si>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</si>
  <si>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</si>
  <si>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</si>
  <si>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</si>
  <si>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</si>
  <si>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</si>
  <si>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</si>
  <si>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</si>
  <si>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</si>
  <si>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</si>
  <si>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</si>
  <si>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</si>
  <si>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</si>
  <si>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</si>
  <si>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</si>
  <si>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</si>
  <si>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</si>
  <si>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</si>
  <si>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</si>
  <si>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</si>
  <si>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</si>
  <si>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</si>
  <si>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</si>
  <si>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</si>
  <si>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</si>
  <si>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</si>
  <si>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</si>
  <si>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</si>
  <si>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</si>
  <si>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</si>
  <si>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</si>
  <si>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</si>
  <si>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</si>
  <si>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</si>
  <si>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</si>
  <si>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</si>
  <si>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</si>
  <si>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</si>
  <si>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</si>
  <si>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</si>
  <si>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</si>
  <si>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</si>
  <si>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</si>
  <si>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</si>
  <si>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</si>
  <si>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</si>
  <si>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</si>
  <si>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</si>
  <si>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</si>
  <si>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</si>
  <si>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</si>
  <si>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</si>
  <si>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</si>
  <si>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</si>
  <si>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</si>
  <si>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</si>
  <si>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</si>
  <si>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</si>
  <si>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</si>
  <si>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</si>
  <si>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</si>
  <si>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</si>
  <si>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</si>
  <si>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</si>
  <si>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</si>
  <si>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</si>
  <si>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</si>
  <si>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</si>
  <si>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</si>
  <si>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</si>
  <si>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</si>
  <si>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</si>
  <si>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</si>
  <si>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</si>
  <si>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</si>
  <si>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</si>
  <si>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</si>
  <si>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</si>
  <si>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</si>
  <si>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</si>
  <si>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</si>
  <si>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</si>
  <si>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</si>
  <si>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</si>
  <si>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</si>
  <si>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</si>
  <si>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</si>
  <si>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</si>
  <si>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</si>
  <si>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</si>
  <si>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</si>
  <si>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</si>
  <si>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</si>
  <si>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</si>
  <si>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</si>
  <si>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</si>
  <si>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</si>
  <si>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</si>
  <si>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</si>
  <si>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</si>
  <si>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</si>
  <si>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</si>
  <si>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</si>
  <si>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</si>
  <si>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</si>
  <si>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</si>
  <si>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</si>
  <si>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</si>
  <si>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</si>
  <si>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</si>
  <si>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</si>
  <si>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</si>
  <si>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</si>
  <si>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</si>
  <si>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</si>
  <si>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</si>
  <si>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</si>
  <si>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</si>
  <si>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</si>
  <si>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</si>
  <si>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</si>
  <si>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</si>
  <si>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</si>
  <si>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</si>
  <si>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</si>
  <si>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</si>
  <si>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</si>
  <si>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</si>
  <si>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</si>
  <si>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</si>
  <si>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</si>
  <si>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</si>
  <si>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</si>
  <si>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</si>
  <si>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</si>
  <si>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</si>
  <si>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</si>
  <si>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</si>
  <si>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</si>
  <si>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</si>
  <si>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</si>
  <si>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</si>
  <si>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</si>
  <si>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</si>
  <si>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</si>
  <si>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</si>
  <si>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</si>
  <si>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</si>
  <si>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</si>
  <si>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</si>
  <si>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</si>
  <si>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</si>
  <si>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</si>
  <si>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</si>
  <si>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</si>
  <si>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</si>
  <si>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</si>
  <si>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</si>
  <si>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</si>
  <si>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</si>
  <si>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</si>
  <si>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</si>
  <si>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</si>
  <si>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</si>
  <si>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</si>
  <si>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</si>
  <si>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</si>
  <si>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</si>
  <si>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</si>
  <si>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</si>
  <si>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</si>
  <si>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</si>
  <si>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</si>
  <si>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</si>
  <si>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</si>
  <si>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</si>
  <si>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</si>
  <si>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</si>
  <si>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</si>
  <si>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</si>
  <si>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</si>
  <si>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</si>
  <si>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</si>
  <si>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</si>
  <si>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</si>
  <si>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</si>
  <si>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</si>
  <si>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</si>
  <si>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</si>
  <si>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</si>
  <si>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</si>
  <si>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</si>
  <si>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</si>
  <si>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</si>
  <si>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</si>
  <si>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</si>
  <si>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</si>
  <si>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</si>
  <si>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</si>
  <si>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</si>
  <si>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</si>
  <si>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</si>
  <si>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</si>
  <si>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</si>
  <si>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</si>
  <si>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</si>
  <si>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</si>
  <si>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</si>
  <si>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</si>
  <si>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</si>
  <si>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</si>
  <si>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</si>
  <si>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</si>
  <si>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</si>
  <si>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</si>
  <si>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</si>
  <si>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</si>
  <si>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</si>
  <si>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</si>
  <si>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</si>
  <si>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</si>
  <si>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</si>
  <si>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</si>
  <si>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</si>
  <si>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</si>
  <si>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</si>
  <si>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</si>
  <si>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</si>
  <si>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</si>
  <si>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</si>
  <si>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</si>
  <si>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</si>
  <si>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</si>
  <si>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</si>
  <si>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</si>
  <si>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</si>
  <si>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</si>
  <si>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</si>
  <si>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</si>
  <si>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</si>
  <si>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</si>
  <si>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</si>
  <si>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</si>
  <si>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</si>
  <si>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</si>
  <si>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</si>
  <si>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</si>
  <si>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</si>
  <si>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</si>
  <si>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</si>
  <si>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</si>
  <si>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</si>
  <si>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</si>
  <si>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</si>
  <si>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</si>
  <si>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</si>
  <si>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</si>
  <si>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</si>
  <si>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</si>
  <si>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</si>
  <si>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</si>
  <si>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</si>
  <si>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</si>
  <si>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</si>
  <si>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</si>
  <si>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</si>
  <si>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</si>
  <si>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</si>
  <si>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</si>
  <si>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</si>
  <si>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</si>
  <si>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</si>
  <si>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</si>
  <si>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</si>
  <si>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</si>
  <si>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</si>
  <si>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</si>
  <si>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</si>
  <si>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</si>
  <si>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</si>
  <si>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</si>
  <si>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</si>
  <si>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</si>
  <si>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</si>
  <si>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</si>
  <si>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</si>
  <si>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</si>
  <si>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</si>
  <si>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</si>
  <si>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</si>
  <si>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</si>
  <si>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</si>
  <si>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</si>
  <si>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</si>
  <si>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</si>
  <si>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</si>
  <si>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</si>
  <si>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</si>
  <si>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</si>
  <si>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</si>
  <si>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</si>
  <si>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</si>
  <si>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</si>
  <si>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</si>
  <si>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</si>
  <si>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</si>
  <si>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</si>
  <si>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</si>
  <si>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</si>
  <si>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</si>
  <si>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</si>
  <si>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</si>
  <si>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</si>
  <si>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</si>
  <si>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</si>
  <si>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</si>
  <si>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</si>
  <si>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</si>
  <si>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</si>
  <si>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</si>
  <si>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</si>
  <si>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</si>
  <si>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</si>
  <si>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</si>
  <si>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</si>
  <si>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</si>
  <si>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</si>
  <si>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</si>
  <si>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</si>
  <si>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</si>
  <si>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</si>
  <si>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</si>
  <si>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</si>
  <si>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</si>
  <si>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</si>
  <si>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</si>
  <si>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</si>
  <si>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</si>
  <si>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</si>
  <si>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</si>
  <si>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</si>
  <si>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</si>
  <si>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</si>
  <si>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</si>
  <si>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</si>
  <si>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</si>
  <si>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</si>
  <si>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</si>
  <si>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</si>
  <si>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</si>
  <si>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</si>
  <si>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</si>
  <si>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</si>
  <si>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</si>
  <si>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</si>
  <si>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</si>
  <si>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</si>
  <si>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</si>
  <si>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</si>
  <si>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</si>
  <si>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</si>
  <si>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</si>
  <si>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</si>
  <si>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</si>
  <si>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</si>
  <si>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</si>
  <si>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</si>
  <si>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</si>
  <si>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</si>
  <si>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</si>
  <si>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</si>
  <si>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</si>
  <si>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</si>
  <si>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</si>
  <si>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</si>
  <si>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</si>
  <si>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</si>
  <si>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</si>
  <si>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</si>
  <si>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</si>
  <si>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</si>
  <si>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</si>
  <si>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</si>
  <si>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</si>
  <si>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</si>
  <si>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</si>
  <si>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</si>
  <si>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</si>
  <si>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</si>
  <si>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</si>
  <si>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</si>
  <si>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</si>
  <si>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</si>
  <si>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</si>
  <si>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</si>
  <si>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</si>
  <si>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</si>
  <si>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</si>
  <si>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</si>
  <si>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</si>
  <si>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</si>
  <si>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</si>
  <si>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</si>
  <si>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</si>
  <si>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</si>
  <si>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</si>
  <si>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</si>
  <si>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</si>
  <si>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</si>
  <si>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</si>
  <si>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</si>
  <si>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</si>
  <si>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</si>
  <si>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</si>
  <si>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</si>
  <si>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</si>
  <si>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</si>
  <si>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</si>
  <si>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</si>
  <si>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</si>
  <si>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</si>
  <si>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</si>
  <si>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</si>
  <si>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</si>
  <si>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</si>
  <si>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</si>
  <si>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</si>
  <si>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</si>
  <si>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</si>
  <si>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</si>
  <si>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</si>
  <si>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</si>
  <si>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</si>
  <si>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</si>
  <si>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</si>
  <si>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</si>
  <si>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</si>
  <si>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</si>
  <si>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</si>
  <si>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</si>
  <si>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</si>
  <si>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</si>
  <si>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</si>
  <si>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</si>
  <si>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</si>
  <si>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</si>
  <si>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</si>
  <si>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</si>
  <si>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</si>
  <si>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</si>
  <si>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</si>
  <si>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</si>
  <si>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</si>
  <si>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</si>
  <si>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</si>
  <si>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</si>
  <si>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</si>
  <si>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</si>
  <si>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</si>
  <si>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</si>
  <si>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</si>
  <si>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</si>
  <si>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</si>
  <si>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</si>
  <si>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</si>
  <si>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</si>
  <si>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</si>
  <si>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</si>
  <si>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</si>
  <si>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</si>
  <si>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</si>
  <si>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</si>
  <si>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</si>
  <si>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</si>
  <si>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</si>
  <si>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</si>
  <si>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</si>
  <si>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</si>
  <si>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</si>
  <si>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</si>
  <si>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</si>
  <si>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</si>
  <si>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</si>
  <si>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</si>
  <si>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</si>
  <si>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</si>
  <si>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</si>
  <si>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</si>
  <si>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</si>
  <si>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</si>
  <si>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</si>
  <si>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</si>
  <si>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</si>
  <si>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</si>
  <si>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</si>
  <si>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</si>
  <si>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</si>
  <si>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</si>
  <si>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</si>
  <si>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</si>
  <si>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</si>
  <si>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</si>
  <si>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</si>
  <si>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</si>
  <si>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</si>
  <si>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</si>
  <si>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</si>
  <si>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</si>
  <si>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</si>
  <si>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</si>
  <si>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</si>
  <si>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</si>
  <si>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</si>
  <si>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</si>
  <si>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</si>
  <si>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</si>
  <si>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</si>
  <si>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</si>
  <si>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</si>
  <si>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</si>
  <si>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</si>
  <si>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</si>
  <si>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</si>
  <si>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</si>
  <si>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</si>
  <si>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</si>
  <si>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</si>
  <si>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</si>
  <si>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</si>
  <si>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</si>
  <si>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</si>
  <si>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</si>
  <si>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</si>
  <si>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</si>
  <si>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</si>
  <si>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</si>
  <si>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</si>
  <si>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</si>
  <si>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</si>
  <si>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</si>
  <si>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</si>
  <si>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</si>
  <si>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</si>
  <si>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</si>
  <si>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</si>
  <si>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</si>
  <si>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</si>
  <si>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</si>
  <si>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</si>
  <si>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</si>
  <si>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</si>
  <si>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</si>
  <si>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</si>
  <si>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</si>
  <si>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</si>
  <si>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</si>
  <si>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</si>
  <si>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</si>
  <si>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</si>
  <si>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</si>
  <si>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</si>
  <si>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</si>
  <si>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</si>
  <si>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</si>
  <si>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</si>
  <si>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</si>
  <si>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</si>
  <si>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</si>
  <si>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</si>
  <si>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</si>
  <si>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</si>
  <si>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</si>
  <si>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</si>
  <si>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</si>
  <si>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</si>
  <si>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</si>
  <si>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</si>
  <si>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</si>
  <si>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</si>
  <si>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</si>
  <si>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</si>
  <si>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</si>
  <si>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</si>
  <si>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</si>
  <si>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</si>
  <si>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</si>
  <si>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</si>
  <si>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</si>
  <si>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</si>
  <si>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</si>
  <si>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</si>
  <si>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</si>
  <si>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</si>
  <si>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</si>
  <si>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</si>
  <si>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</si>
  <si>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</si>
  <si>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</si>
  <si>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</si>
  <si>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</si>
  <si>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</si>
  <si>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</si>
  <si>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</si>
  <si>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</si>
  <si>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</si>
  <si>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</si>
  <si>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</si>
  <si>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</si>
  <si>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</si>
  <si>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</si>
  <si>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</si>
  <si>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</si>
  <si>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</si>
  <si>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</si>
  <si>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</si>
  <si>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</si>
  <si>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</si>
  <si>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</si>
  <si>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</si>
  <si>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</si>
  <si>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</si>
  <si>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</si>
  <si>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</si>
  <si>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</si>
  <si>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</si>
  <si>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</si>
  <si>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</si>
  <si>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</si>
  <si>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</si>
  <si>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</si>
  <si>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</si>
  <si>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</si>
  <si>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</si>
  <si>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</si>
  <si>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</si>
  <si>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</si>
  <si>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</si>
  <si>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</si>
  <si>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</si>
  <si>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</si>
  <si>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</si>
  <si>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</si>
  <si>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</si>
  <si>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</si>
  <si>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</si>
  <si>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</si>
  <si>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</si>
  <si>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</si>
  <si>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</si>
  <si>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</si>
  <si>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</si>
  <si>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</si>
  <si>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</si>
  <si>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</si>
  <si>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</si>
  <si>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</si>
  <si>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</si>
  <si>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</si>
  <si>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</si>
  <si>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</si>
  <si>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</si>
  <si>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</si>
  <si>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</si>
  <si>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</si>
  <si>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</si>
  <si>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</si>
  <si>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</si>
  <si>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</si>
  <si>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</si>
  <si>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</si>
  <si>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</si>
  <si>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</si>
  <si>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</si>
  <si>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</si>
  <si>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</si>
  <si>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</si>
  <si>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</si>
  <si>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</si>
  <si>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</si>
  <si>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</si>
  <si>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</si>
  <si>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</si>
  <si>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</si>
  <si>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</si>
  <si>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</si>
  <si>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</si>
  <si>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</si>
  <si>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</si>
  <si>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</si>
  <si>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</si>
  <si>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</si>
  <si>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</si>
  <si>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</si>
  <si>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</si>
  <si>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</si>
  <si>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</si>
  <si>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</si>
  <si>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</si>
  <si>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</si>
  <si>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</si>
  <si>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</si>
  <si>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</si>
  <si>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</si>
  <si>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</si>
  <si>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</si>
  <si>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</si>
  <si>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</si>
  <si>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</si>
  <si>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</si>
  <si>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</si>
  <si>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</si>
  <si>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</si>
  <si>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</si>
  <si>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</si>
  <si>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</si>
  <si>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</si>
  <si>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</si>
  <si>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</si>
  <si>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</si>
  <si>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</si>
  <si>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</si>
  <si>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</si>
  <si>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</si>
  <si>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</si>
  <si>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</si>
  <si>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</si>
  <si>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</si>
  <si>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</si>
  <si>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</si>
  <si>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</si>
  <si>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</si>
  <si>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</si>
  <si>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</si>
  <si>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</si>
  <si>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</si>
  <si>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</si>
  <si>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</si>
  <si>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</si>
  <si>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</si>
  <si>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</si>
  <si>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</si>
  <si>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</si>
  <si>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</si>
  <si>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</si>
  <si>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</si>
  <si>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</si>
  <si>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</si>
  <si>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</si>
  <si>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</si>
  <si>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</si>
  <si>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</si>
  <si>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</si>
  <si>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</si>
  <si>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</si>
  <si>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</si>
  <si>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</si>
  <si>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</si>
  <si>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</si>
  <si>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</si>
  <si>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</si>
  <si>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</si>
  <si>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</si>
  <si>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</si>
  <si>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</si>
  <si>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</si>
  <si>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</si>
  <si>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</si>
  <si>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</si>
  <si>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</si>
  <si>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</si>
  <si>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</si>
  <si>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</si>
  <si>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</si>
  <si>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</si>
  <si>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</si>
  <si>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</si>
  <si>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</si>
  <si>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</si>
  <si>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</si>
  <si>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</si>
  <si>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</si>
  <si>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</si>
  <si>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</si>
  <si>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</si>
  <si>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</si>
  <si>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</si>
  <si>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</si>
  <si>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</si>
  <si>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</si>
  <si>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</si>
  <si>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</si>
  <si>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</si>
  <si>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</si>
  <si>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</si>
  <si>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</si>
  <si>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</si>
  <si>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</si>
  <si>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</si>
  <si>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</si>
  <si>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</si>
  <si>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</si>
  <si>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</si>
  <si>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</si>
  <si>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</si>
  <si>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</si>
  <si>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</si>
  <si>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</si>
  <si>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</si>
  <si>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</si>
  <si>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</si>
  <si>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</si>
  <si>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</si>
  <si>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</si>
  <si>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</si>
  <si>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</si>
  <si>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</si>
  <si>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</si>
  <si>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</si>
  <si>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</si>
  <si>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</si>
  <si>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</si>
  <si>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</si>
  <si>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</si>
  <si>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</si>
  <si>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</si>
  <si>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</si>
  <si>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</si>
  <si>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</si>
  <si>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</si>
  <si>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</si>
  <si>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</si>
  <si>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</si>
  <si>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</si>
  <si>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</si>
  <si>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</si>
  <si>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</si>
  <si>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</si>
  <si>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</si>
  <si>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</si>
  <si>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</si>
  <si>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</si>
  <si>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</si>
  <si>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</si>
  <si>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</si>
  <si>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</si>
  <si>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</si>
  <si>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</si>
  <si>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</si>
  <si>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</si>
  <si>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</si>
  <si>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</si>
  <si>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</si>
  <si>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</si>
  <si>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</si>
  <si>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</si>
  <si>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</si>
  <si>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</si>
  <si>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</si>
  <si>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</si>
  <si>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</si>
  <si>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</si>
  <si>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</si>
  <si>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</si>
  <si>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</si>
  <si>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</si>
  <si>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</si>
  <si>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</si>
  <si>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</si>
  <si>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</si>
  <si>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</si>
  <si>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</si>
  <si>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</si>
  <si>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</si>
  <si>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</si>
  <si>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</si>
  <si>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</si>
  <si>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</si>
  <si>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</si>
  <si>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</si>
  <si>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</si>
  <si>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</si>
  <si>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</si>
  <si>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</si>
  <si>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</si>
  <si>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</si>
  <si>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</si>
  <si>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</si>
  <si>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</si>
  <si>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</si>
  <si>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</si>
  <si>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</si>
  <si>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</si>
  <si>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</si>
  <si>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</si>
  <si>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</si>
  <si>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</si>
  <si>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</si>
  <si>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</si>
  <si>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</si>
  <si>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</si>
  <si>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</si>
  <si>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</si>
  <si>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</si>
  <si>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</si>
  <si>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</si>
  <si>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</si>
  <si>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</si>
  <si>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</si>
  <si>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</si>
  <si>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</si>
  <si>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</si>
  <si>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</si>
  <si>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</si>
  <si>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</si>
  <si>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</si>
  <si>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</si>
  <si>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</si>
  <si>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</si>
  <si>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</si>
  <si>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</si>
  <si>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</si>
  <si>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</si>
  <si>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</si>
  <si>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</si>
  <si>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</si>
  <si>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</si>
  <si>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</si>
  <si>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</si>
  <si>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</si>
  <si>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</si>
  <si>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</si>
  <si>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</si>
  <si>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</si>
  <si>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</si>
  <si>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</si>
  <si>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</si>
  <si>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</si>
  <si>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</si>
  <si>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</si>
  <si>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</si>
  <si>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</si>
  <si>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</si>
  <si>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</si>
  <si>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</si>
  <si>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</si>
  <si>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</si>
  <si>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</si>
  <si>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</si>
  <si>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</si>
  <si>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</si>
  <si>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</si>
  <si>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</si>
  <si>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</si>
  <si>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</si>
  <si>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</si>
  <si>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</si>
  <si>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</si>
  <si>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</si>
  <si>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</si>
  <si>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</si>
  <si>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</si>
  <si>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</si>
  <si>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</si>
  <si>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</si>
  <si>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</si>
  <si>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</si>
  <si>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</si>
  <si>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</si>
  <si>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</si>
  <si>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</si>
  <si>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</si>
  <si>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</si>
  <si>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</si>
  <si>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</si>
  <si>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</si>
  <si>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</si>
  <si>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</si>
  <si>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</si>
  <si>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</si>
  <si>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</si>
  <si>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</si>
  <si>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</si>
  <si>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</si>
  <si>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</si>
  <si>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</si>
  <si>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</si>
  <si>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</si>
  <si>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</si>
  <si>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</si>
  <si>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</si>
  <si>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</si>
  <si>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</si>
  <si>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</si>
  <si>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</si>
  <si>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</si>
  <si>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</si>
  <si>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</si>
  <si>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</si>
  <si>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</si>
  <si>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</si>
  <si>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</si>
  <si>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</si>
  <si>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</si>
  <si>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</si>
  <si>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</si>
  <si>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</si>
  <si>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</si>
  <si>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</si>
  <si>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</si>
  <si>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</si>
  <si>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</si>
  <si>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</si>
  <si>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</si>
  <si>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</si>
  <si>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</si>
  <si>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</si>
  <si>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</si>
  <si>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</si>
  <si>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</si>
  <si>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</si>
  <si>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</si>
  <si>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</si>
  <si>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</si>
  <si>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</si>
  <si>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</si>
  <si>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</si>
  <si>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</si>
  <si>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</si>
  <si>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</si>
  <si>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</si>
  <si>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</si>
  <si>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</si>
  <si>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</si>
  <si>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</si>
  <si>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</si>
  <si>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</si>
  <si>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</si>
  <si>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</si>
  <si>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</si>
  <si>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</si>
  <si>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</si>
  <si>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</si>
  <si>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</si>
  <si>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</si>
  <si>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</si>
  <si>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</si>
  <si>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</si>
  <si>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</si>
  <si>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</si>
  <si>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</si>
  <si>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</si>
  <si>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</si>
  <si>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</si>
  <si>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</si>
  <si>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</si>
  <si>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</si>
  <si>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</si>
  <si>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</si>
  <si>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</si>
  <si>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</si>
  <si>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</si>
  <si>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</si>
  <si>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</si>
  <si>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</si>
  <si>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</si>
  <si>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</si>
  <si>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</si>
  <si>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</si>
  <si>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</si>
  <si>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</si>
  <si>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</si>
  <si>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</si>
  <si>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</si>
  <si>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</si>
  <si>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</si>
  <si>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</si>
  <si>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</si>
  <si>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</si>
  <si>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</si>
  <si>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</si>
  <si>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</si>
  <si>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</si>
  <si>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</si>
  <si>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</si>
  <si>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</si>
  <si>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</si>
  <si>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</si>
  <si>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</si>
  <si>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</si>
  <si>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</si>
  <si>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</si>
  <si>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</si>
  <si>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</si>
  <si>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</si>
  <si>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</si>
  <si>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</si>
  <si>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</si>
  <si>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</si>
  <si>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</si>
  <si>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</si>
  <si>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</si>
  <si>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</si>
  <si>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</si>
  <si>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</si>
  <si>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</si>
  <si>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</si>
  <si>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</si>
  <si>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</si>
  <si>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</si>
  <si>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</si>
  <si>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</si>
  <si>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</si>
  <si>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</si>
  <si>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</si>
  <si>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</si>
  <si>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</si>
  <si>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</si>
  <si>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</si>
  <si>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</si>
  <si>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</si>
  <si>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</si>
  <si>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</si>
  <si>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</si>
  <si>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</si>
  <si>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</si>
  <si>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</si>
  <si>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</si>
  <si>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</si>
  <si>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</si>
  <si>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</si>
  <si>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</si>
  <si>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</si>
  <si>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</si>
  <si>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</si>
  <si>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</si>
  <si>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</si>
  <si>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</si>
  <si>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</si>
  <si>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</si>
  <si>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</si>
  <si>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</si>
  <si>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</si>
  <si>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</si>
  <si>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</si>
  <si>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</si>
  <si>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</si>
  <si>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</si>
  <si>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</si>
  <si>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</si>
  <si>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</si>
  <si>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</si>
  <si>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</si>
  <si>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</si>
  <si>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</si>
  <si>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</si>
  <si>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</si>
  <si>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</si>
  <si>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</si>
  <si>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</si>
  <si>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</si>
  <si>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</si>
  <si>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</si>
  <si>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</si>
  <si>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</si>
  <si>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</si>
  <si>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</si>
  <si>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</si>
  <si>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</si>
  <si>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</si>
  <si>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</si>
  <si>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</si>
  <si>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</si>
  <si>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</si>
  <si>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</si>
  <si>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</si>
  <si>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</si>
  <si>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</si>
  <si>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</si>
  <si>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</si>
  <si>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</si>
  <si>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</si>
  <si>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</si>
  <si>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</si>
  <si>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</si>
  <si>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</si>
  <si>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</si>
  <si>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</si>
  <si>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</si>
  <si>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</si>
  <si>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</si>
  <si>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</si>
  <si>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</si>
  <si>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</si>
  <si>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</si>
  <si>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</si>
  <si>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</si>
  <si>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</si>
  <si>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</si>
  <si>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</si>
  <si>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</si>
  <si>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</si>
  <si>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</si>
  <si>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</si>
  <si>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</si>
  <si>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</si>
  <si>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</si>
  <si>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</si>
  <si>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</si>
  <si>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</si>
  <si>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</si>
  <si>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</si>
  <si>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</si>
  <si>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</si>
  <si>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</si>
  <si>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</si>
  <si>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</si>
  <si>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</si>
  <si>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</si>
  <si>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</si>
  <si>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</si>
  <si>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</si>
  <si>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</si>
  <si>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</si>
  <si>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</si>
  <si>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</si>
  <si>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</si>
  <si>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</si>
  <si>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</si>
  <si>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</si>
  <si>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</si>
  <si>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</si>
  <si>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</si>
  <si>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</si>
  <si>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</si>
  <si>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</si>
  <si>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</si>
  <si>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</si>
  <si>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</si>
  <si>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</si>
  <si>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</si>
  <si>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</si>
  <si>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</si>
  <si>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</si>
  <si>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</si>
  <si>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</si>
  <si>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</si>
  <si>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</si>
  <si>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</si>
  <si>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</si>
  <si>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</si>
  <si>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</si>
  <si>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</si>
  <si>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</si>
  <si>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</si>
  <si>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</si>
  <si>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</si>
  <si>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</si>
  <si>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</si>
  <si>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</si>
  <si>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</si>
  <si>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</si>
  <si>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</si>
  <si>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</si>
  <si>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</si>
  <si>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</si>
  <si>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</si>
  <si>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</si>
  <si>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</si>
  <si>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</si>
  <si>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</si>
  <si>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</si>
  <si>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</si>
  <si>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</si>
  <si>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</si>
  <si>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</si>
  <si>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</si>
  <si>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</si>
  <si>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</si>
  <si>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</si>
  <si>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</si>
  <si>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</si>
  <si>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</si>
  <si>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</si>
  <si>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</si>
  <si>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</si>
  <si>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</si>
  <si>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</si>
  <si>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</si>
  <si>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</si>
  <si>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</si>
  <si>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</si>
  <si>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</si>
  <si>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</si>
  <si>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</si>
  <si>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</si>
  <si>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</si>
  <si>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</si>
  <si>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</si>
  <si>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</si>
  <si>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</si>
  <si>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</si>
  <si>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</si>
  <si>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</si>
  <si>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</si>
  <si>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</si>
  <si>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</si>
  <si>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</si>
  <si>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</si>
  <si>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</si>
  <si>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</si>
  <si>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</si>
  <si>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</si>
  <si>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</si>
  <si>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</si>
  <si>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</si>
  <si>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</si>
  <si>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</si>
  <si>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</si>
  <si>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</si>
  <si>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</si>
  <si>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</si>
  <si>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</si>
  <si>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</si>
  <si>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</si>
  <si>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</si>
  <si>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</si>
  <si>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</si>
  <si>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</si>
  <si>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</si>
  <si>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</si>
  <si>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</si>
  <si>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</si>
  <si>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</si>
  <si>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</si>
  <si>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</si>
  <si>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</si>
  <si>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</si>
  <si>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</si>
  <si>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</si>
  <si>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</si>
  <si>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</si>
  <si>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</si>
  <si>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</si>
  <si>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</si>
  <si>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</si>
  <si>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</si>
  <si>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</si>
  <si>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</si>
  <si>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</si>
  <si>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</si>
  <si>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</si>
  <si>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</si>
  <si>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</si>
  <si>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</si>
  <si>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</si>
  <si>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</si>
  <si>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</si>
  <si>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</si>
  <si>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</si>
  <si>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</si>
  <si>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</si>
  <si>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</si>
  <si>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</si>
  <si>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</si>
  <si>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</si>
  <si>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</si>
  <si>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</si>
  <si>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</si>
  <si>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</si>
  <si>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</si>
  <si>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</si>
  <si>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</si>
  <si>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</si>
  <si>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</si>
  <si>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</si>
  <si>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</si>
  <si>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</si>
  <si>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</si>
  <si>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</si>
  <si>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</si>
  <si>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</si>
  <si>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</si>
  <si>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</si>
  <si>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</si>
  <si>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</si>
  <si>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</si>
  <si>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</si>
  <si>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</si>
  <si>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</si>
  <si>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</si>
  <si>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</si>
  <si>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</si>
  <si>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</si>
  <si>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</si>
  <si>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</si>
  <si>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</si>
  <si>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</si>
  <si>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</si>
  <si>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</si>
  <si>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</si>
  <si>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</si>
  <si>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</si>
  <si>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</si>
  <si>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</si>
  <si>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</si>
  <si>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</si>
  <si>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</si>
  <si>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</si>
  <si>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</si>
  <si>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</si>
  <si>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</si>
  <si>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</si>
  <si>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</si>
  <si>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</si>
  <si>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</si>
  <si>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</si>
  <si>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</si>
  <si>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</si>
  <si>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</si>
  <si>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</si>
  <si>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</si>
  <si>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</si>
  <si>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</si>
  <si>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</si>
  <si>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</si>
  <si>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</si>
  <si>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</si>
  <si>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</si>
  <si>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</si>
  <si>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</si>
  <si>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</si>
  <si>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</si>
  <si>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</si>
  <si>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</si>
  <si>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</si>
  <si>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</si>
  <si>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</si>
  <si>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</si>
  <si>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</si>
  <si>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</si>
  <si>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</si>
  <si>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</si>
  <si>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</si>
  <si>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</si>
  <si>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</si>
  <si>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</si>
  <si>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</si>
  <si>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</si>
  <si>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</si>
  <si>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</si>
  <si>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</si>
  <si>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</si>
  <si>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</si>
  <si>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</si>
  <si>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</si>
  <si>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Chester School District</t>
  </si>
  <si>
    <t>Prior Year Exp reimb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</si>
</sst>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4">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40" fontId="14" fillId="5" borderId="0" xfId="0" applyNumberFormat="1" applyFont="1" applyFill="1" applyProtection="1">
      <protection locked="0"/>
    </xf>
    <xf numFmtId="0" fontId="1" fillId="41" borderId="0" xfId="43" applyFont="1" applyFill="1" applyProtection="1">
      <protection locked="0"/>
    </xf>
    <xf numFmtId="4" fontId="73" fillId="0" borderId="0" xfId="0" applyNumberFormat="1" applyFont="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49" fontId="13" fillId="0" borderId="0" xfId="0" applyNumberFormat="1" applyFont="1" applyAlignment="1" applyProtection="1">
      <alignment horizontal="center"/>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0" zoomScaleNormal="110" workbookViewId="0">
      <pane xSplit="5" ySplit="3" topLeftCell="F649"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93</v>
      </c>
      <c r="C2" s="21">
        <v>93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1010365.39+214.09</f>
        <v>1010579.48</v>
      </c>
      <c r="G9" s="18">
        <v>100</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58036.44-20000</f>
        <v>38036.44</v>
      </c>
      <c r="G12" s="18"/>
      <c r="H12" s="18"/>
      <c r="I12" s="18"/>
      <c r="J12" s="67">
        <f>SUM(I442)</f>
        <v>411138.2</v>
      </c>
      <c r="K12" s="24" t="s">
        <v>288</v>
      </c>
      <c r="L12" s="24" t="s">
        <v>288</v>
      </c>
      <c r="M12" s="8"/>
      <c r="N12" s="264"/>
    </row>
    <row r="13" spans="1:14" s="3" customFormat="1" ht="12.2" customHeight="1" x14ac:dyDescent="0.15">
      <c r="A13" s="1" t="s">
        <v>604</v>
      </c>
      <c r="B13" s="2" t="s">
        <v>289</v>
      </c>
      <c r="C13" s="6">
        <v>5</v>
      </c>
      <c r="D13" s="2" t="s">
        <v>428</v>
      </c>
      <c r="E13" s="6">
        <v>140</v>
      </c>
      <c r="F13" s="18">
        <f>37401.1+6080.24</f>
        <v>43481.34</v>
      </c>
      <c r="G13" s="18">
        <v>16528.96</v>
      </c>
      <c r="H13" s="18">
        <v>33873.03</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3105.29</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v>700</v>
      </c>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1092097.26</v>
      </c>
      <c r="G19" s="41">
        <f>SUM(G9:G18)</f>
        <v>20434.25</v>
      </c>
      <c r="H19" s="41">
        <f>SUM(H9:H18)</f>
        <v>33873.03</v>
      </c>
      <c r="I19" s="41">
        <f>SUM(I9:I18)</f>
        <v>0</v>
      </c>
      <c r="J19" s="41">
        <f>SUM(J9:J18)</f>
        <v>411138.2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4163.41</v>
      </c>
      <c r="H22" s="18">
        <v>33873.03</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172282.6+11438.46</f>
        <v>183721.06</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19551.88</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-0.01</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2700</v>
      </c>
      <c r="G30" s="18">
        <v>12465.55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205972.93</v>
      </c>
      <c r="G32" s="41">
        <f>SUM(G22:G31)</f>
        <v>16628.96</v>
      </c>
      <c r="H32" s="41">
        <f>SUM(H22:H31)</f>
        <v>33873.03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3105.29</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v>700</v>
      </c>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6080.24</v>
      </c>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1552.53-1552.53</f>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225995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214.09</v>
      </c>
      <c r="G48" s="18"/>
      <c r="H48" s="18"/>
      <c r="I48" s="18"/>
      <c r="J48" s="13">
        <f>SUM(I460)</f>
        <v>411138.2</v>
      </c>
      <c r="K48" s="24" t="s">
        <v>288</v>
      </c>
      <c r="L48" s="24" t="s">
        <v>288</v>
      </c>
      <c r="M48" s="8"/>
      <c r="N48" s="264"/>
    </row>
    <row r="49" spans="1:14" s="3" customFormat="1" ht="12.2" customHeight="1" x14ac:dyDescent="0.15">
      <c r="A49" s="1" t="s">
        <v>859</v>
      </c>
      <c r="B49" s="2" t="s">
        <v>289</v>
      </c>
      <c r="C49" s="6">
        <v>34</v>
      </c>
      <c r="D49" s="2"/>
      <c r="E49" s="6">
        <v>753</v>
      </c>
      <c r="F49" s="18">
        <f>166956.77-20000</f>
        <v>146956.76999999999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611769.77-104891.54-20000</f>
        <v>486878.23000000004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886124.33000000007</v>
      </c>
      <c r="G51" s="41">
        <f>SUM(G35:G50)</f>
        <v>3805.29</v>
      </c>
      <c r="H51" s="41">
        <f>SUM(H35:H50)</f>
        <v>0</v>
      </c>
      <c r="I51" s="41">
        <f>SUM(I35:I50)</f>
        <v>0</v>
      </c>
      <c r="J51" s="41">
        <f>SUM(J35:J50)</f>
        <v>411138.2</v>
      </c>
      <c r="K51" s="45" t="s">
        <v>288</v>
      </c>
      <c r="L51" s="45" t="s">
        <v>288</v>
      </c>
      <c r="N51" s="262"/>
    </row>
    <row r="52" spans="1:14" s="3" customFormat="1" ht="12.2" customHeight="1" thickTop="1" x14ac:dyDescent="0.15">
      <c r="A52" s="38" t="s">
        <v>455</v>
      </c>
      <c r="B52" s="39" t="s">
        <v>289</v>
      </c>
      <c r="C52" s="6">
        <v>37</v>
      </c>
      <c r="D52" s="39" t="s">
        <v>653</v>
      </c>
      <c r="E52" s="39"/>
      <c r="F52" s="41">
        <f>F51+F32</f>
        <v>1092097.26</v>
      </c>
      <c r="G52" s="41">
        <f>G51+G32</f>
        <v>20434.25</v>
      </c>
      <c r="H52" s="41">
        <f>H51+H32</f>
        <v>33873.03</v>
      </c>
      <c r="I52" s="41">
        <f>I51+I32</f>
        <v>0</v>
      </c>
      <c r="J52" s="41">
        <f>J51+J32</f>
        <v>411138.2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7764678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7764678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15256.83</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15256.83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713.7</v>
      </c>
      <c r="G96" s="18"/>
      <c r="H96" s="18"/>
      <c r="I96" s="18"/>
      <c r="J96" s="18">
        <v>21303.39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3555.15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v>10000</v>
      </c>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56208.639999999999</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81803.58-211.62</f>
        <v>81591.960000000006</v>
      </c>
      <c r="G110" s="18">
        <v>623.52</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138514.29999999999</v>
      </c>
      <c r="G111" s="41">
        <f>SUM(G96:G110)</f>
        <v>14178.67</v>
      </c>
      <c r="H111" s="41">
        <f>SUM(H96:H110)</f>
        <v>0</v>
      </c>
      <c r="I111" s="41">
        <f>SUM(I96:I110)</f>
        <v>0</v>
      </c>
      <c r="J111" s="41">
        <f>SUM(J96:J110)</f>
        <v>21303.39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7918449.1299999999</v>
      </c>
      <c r="G112" s="41">
        <f>G60+G111</f>
        <v>14178.67</v>
      </c>
      <c r="H112" s="41">
        <f>H60+H79+H94+H111</f>
        <v>0</v>
      </c>
      <c r="I112" s="41">
        <f>I60+I111</f>
        <v>0</v>
      </c>
      <c r="J112" s="41">
        <f>J60+J111</f>
        <v>21303.39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2825543.71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1275137</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2656.22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4103336.93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2421.52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f>18656.22-2656.22</f>
        <v>16000.000000000002</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16000.000000000002</v>
      </c>
      <c r="G136" s="41">
        <f>SUM(G123:G135)</f>
        <v>2421.52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4119336.93</v>
      </c>
      <c r="G140" s="41">
        <f>G121+SUM(G136:G137)</f>
        <v>2421.52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25090</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25090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20741.45</f>
        <v>20741.45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5868.51+9777.28+3946.11</f>
        <v>19591.900000000001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95691.98+4832.09</f>
        <v>100524.06999999999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77640.11+35696.26+2364.06</f>
        <v>115700.43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960.89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199363.76</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10651.64+79695.49+3455.32</f>
        <v>93802.450000000012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960.89</v>
      </c>
      <c r="G163" s="41">
        <f>SUM(G150:G162)</f>
        <v>100524.06999999999</v>
      </c>
      <c r="H163" s="41">
        <f>SUM(H150:H162)</f>
        <v>449199.99000000005</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960.89</v>
      </c>
      <c r="G170" s="41">
        <f>G147+G163+SUM(G164:G169)</f>
        <v>100524.06999999999</v>
      </c>
      <c r="H170" s="41">
        <f>H147+H163+SUM(H164:H169)</f>
        <v>474289.99000000005</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16657.810000000001</v>
      </c>
      <c r="H180" s="18"/>
      <c r="I180" s="18"/>
      <c r="J180" s="18">
        <v>20000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16657.810000000001</v>
      </c>
      <c r="H184" s="41">
        <f>SUM(H180:H183)</f>
        <v>0</v>
      </c>
      <c r="I184" s="41">
        <f>SUM(I180:I183)</f>
        <v>0</v>
      </c>
      <c r="J184" s="41">
        <f>SUM(J180:J183)</f>
        <v>20000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v>6080.24</v>
      </c>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6080.24</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6080.24</v>
      </c>
      <c r="G193" s="41">
        <f>G184+SUM(G189:G192)</f>
        <v>16657.810000000001</v>
      </c>
      <c r="H193" s="41">
        <f>+H184+SUM(H189:H192)</f>
        <v>0</v>
      </c>
      <c r="I193" s="41">
        <f>I178+I184+SUM(I189:I192)</f>
        <v>0</v>
      </c>
      <c r="J193" s="41">
        <f>J184</f>
        <v>20000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12044827.190000001</v>
      </c>
      <c r="G194" s="47">
        <f>G112+G140+G170+G193</f>
        <v>133782.07</v>
      </c>
      <c r="H194" s="47">
        <f>H112+H140+H170+H193</f>
        <v>474289.99000000005</v>
      </c>
      <c r="I194" s="47">
        <f>I112+I140+I170+I193</f>
        <v>0</v>
      </c>
      <c r="J194" s="47">
        <f>J112+J140+J193</f>
        <v>41303.39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2155467.13+43049.21+33440.04+28259.51+125</f>
        <v>2260340.8899999997</v>
      </c>
      <c r="G198" s="18">
        <f>468080.17+31233.38+3489.8+8032.41+130.44+157342.06+3293.27+2558.23+364512.36+1458.85+10507.54+202.57</f>
        <v>1050841.08</v>
      </c>
      <c r="H198" s="18">
        <f>3200</f>
        <v>3200</v>
      </c>
      <c r="I198" s="18">
        <v>53916.46</v>
      </c>
      <c r="J198" s="18">
        <v>5895.18</v>
      </c>
      <c r="K198" s="18">
        <v>839</v>
      </c>
      <c r="L198" s="19">
        <f>SUM(F198:K198)</f>
        <v>3375032.61</v>
      </c>
      <c r="M198" s="8"/>
      <c r="N198" s="264"/>
    </row>
    <row r="199" spans="1:14" s="3" customFormat="1" ht="12.2" customHeight="1" x14ac:dyDescent="0.15">
      <c r="A199" s="1" t="s">
        <v>439</v>
      </c>
      <c r="B199" s="2" t="s">
        <v>341</v>
      </c>
      <c r="C199" s="2" t="s">
        <v>291</v>
      </c>
      <c r="D199" s="2" t="s">
        <v>431</v>
      </c>
      <c r="E199" s="6">
        <v>1200</v>
      </c>
      <c r="F199" s="18">
        <v>710884.73</v>
      </c>
      <c r="G199" s="18">
        <v>232187.81</v>
      </c>
      <c r="H199" s="18">
        <f>42028.57-42853.58+99028.07</f>
        <v>98203.06</v>
      </c>
      <c r="I199" s="18">
        <v>2503.33</v>
      </c>
      <c r="J199" s="18">
        <v>1453.16</v>
      </c>
      <c r="K199" s="18">
        <v>0</v>
      </c>
      <c r="L199" s="19">
        <f>SUM(F199:K199)</f>
        <v>1045232.0900000001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18230.82</v>
      </c>
      <c r="G201" s="18">
        <v>4583.6000000000004</v>
      </c>
      <c r="H201" s="18">
        <f>7913.25</f>
        <v>7913.25</v>
      </c>
      <c r="I201" s="18">
        <v>2522.19</v>
      </c>
      <c r="J201" s="18">
        <v>4792.3500000000004</v>
      </c>
      <c r="K201" s="18">
        <v>50</v>
      </c>
      <c r="L201" s="19">
        <f>SUM(F201:K201)</f>
        <v>38092.21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321162.59000000003</v>
      </c>
      <c r="G203" s="18">
        <v>152384.67000000001</v>
      </c>
      <c r="H203" s="18">
        <f>129135.01</f>
        <v>129135.01</v>
      </c>
      <c r="I203" s="18">
        <v>8644.15</v>
      </c>
      <c r="J203" s="18">
        <v>4431.92</v>
      </c>
      <c r="K203" s="18"/>
      <c r="L203" s="19">
        <f t="shared" ref="L203:L209" si="0">SUM(F203:K203)</f>
        <v>615758.34000000008</v>
      </c>
      <c r="M203" s="8"/>
      <c r="N203" s="264"/>
    </row>
    <row r="204" spans="1:14" s="3" customFormat="1" ht="12.2" customHeight="1" x14ac:dyDescent="0.15">
      <c r="A204" s="1" t="s">
        <v>443</v>
      </c>
      <c r="B204" s="2" t="s">
        <v>341</v>
      </c>
      <c r="C204" s="2" t="s">
        <v>295</v>
      </c>
      <c r="D204" s="2" t="s">
        <v>431</v>
      </c>
      <c r="E204" s="6">
        <v>2200</v>
      </c>
      <c r="F204" s="18">
        <v>196061.95</v>
      </c>
      <c r="G204" s="18">
        <v>80272.11</v>
      </c>
      <c r="H204" s="18">
        <f>4656+2419.08+16054.24</f>
        <v>23129.32</v>
      </c>
      <c r="I204" s="18">
        <v>25406.6</v>
      </c>
      <c r="J204" s="18">
        <v>99331.43</v>
      </c>
      <c r="K204" s="18">
        <v>340</v>
      </c>
      <c r="L204" s="19">
        <f t="shared" si="0"/>
        <v>424541.41</v>
      </c>
      <c r="M204" s="8"/>
      <c r="N204" s="264"/>
    </row>
    <row r="205" spans="1:14" s="3" customFormat="1" ht="12.2" customHeight="1" x14ac:dyDescent="0.15">
      <c r="A205" s="1" t="s">
        <v>444</v>
      </c>
      <c r="B205" s="2" t="s">
        <v>341</v>
      </c>
      <c r="C205" s="2" t="s">
        <v>296</v>
      </c>
      <c r="D205" s="2" t="s">
        <v>431</v>
      </c>
      <c r="E205" s="6">
        <v>2300</v>
      </c>
      <c r="F205" s="18">
        <f>12635+214984.51+133307.47-18942.8</f>
        <v>341984.18</v>
      </c>
      <c r="G205" s="18">
        <f>62486.12+991.36+34052.43-5098.03</f>
        <v>92431.88</v>
      </c>
      <c r="H205" s="18">
        <f>31924.77+285+1390.95+5165.44+1427.09+698.44</f>
        <v>40891.69</v>
      </c>
      <c r="I205" s="18">
        <f>7637.21+989.11+193.12</f>
        <v>8819.44</v>
      </c>
      <c r="J205" s="18"/>
      <c r="K205" s="18">
        <f>1883+10911.74</f>
        <v>12794.74</v>
      </c>
      <c r="L205" s="19">
        <f t="shared" si="0"/>
        <v>496921.93</v>
      </c>
      <c r="M205" s="8"/>
      <c r="N205" s="264"/>
    </row>
    <row r="206" spans="1:14" s="3" customFormat="1" ht="12.2" customHeight="1" x14ac:dyDescent="0.15">
      <c r="A206" s="1" t="s">
        <v>445</v>
      </c>
      <c r="B206" s="2" t="s">
        <v>341</v>
      </c>
      <c r="C206" s="2" t="s">
        <v>297</v>
      </c>
      <c r="D206" s="2" t="s">
        <v>431</v>
      </c>
      <c r="E206" s="6">
        <v>2400</v>
      </c>
      <c r="F206" s="18">
        <v>341904.94</v>
      </c>
      <c r="G206" s="18">
        <v>140333.67000000001</v>
      </c>
      <c r="H206" s="18">
        <f>12673.48+11506.97</f>
        <v>24180.449999999997</v>
      </c>
      <c r="I206" s="18">
        <v>30169.52</v>
      </c>
      <c r="J206" s="18">
        <v>7884</v>
      </c>
      <c r="K206" s="18">
        <v>2216.37</v>
      </c>
      <c r="L206" s="19">
        <f t="shared" si="0"/>
        <v>546688.94999999995</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181053.78</v>
      </c>
      <c r="G208" s="18">
        <v>54353.77</v>
      </c>
      <c r="H208" s="18">
        <f>146000.33+26370.64</f>
        <v>172370.96999999997</v>
      </c>
      <c r="I208" s="18">
        <v>159558.78</v>
      </c>
      <c r="J208" s="18">
        <v>72935</v>
      </c>
      <c r="K208" s="18"/>
      <c r="L208" s="19">
        <f t="shared" si="0"/>
        <v>640272.29999999993</v>
      </c>
      <c r="M208" s="8"/>
      <c r="N208" s="264"/>
    </row>
    <row r="209" spans="1:14" s="3" customFormat="1" ht="12.2" customHeight="1" x14ac:dyDescent="0.15">
      <c r="A209" s="1" t="s">
        <v>448</v>
      </c>
      <c r="B209" s="2" t="s">
        <v>341</v>
      </c>
      <c r="C209" s="2" t="s">
        <v>300</v>
      </c>
      <c r="D209" s="2" t="s">
        <v>431</v>
      </c>
      <c r="E209" s="6">
        <v>2700</v>
      </c>
      <c r="F209" s="18"/>
      <c r="G209" s="18"/>
      <c r="H209" s="18">
        <f>2688+16500+33376+18256+373694.64+495.8+3068.6+20670</f>
        <v>468749.04</v>
      </c>
      <c r="I209" s="18"/>
      <c r="J209" s="18"/>
      <c r="K209" s="18"/>
      <c r="L209" s="19">
        <f t="shared" si="0"/>
        <v>468749.04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4371623.88</v>
      </c>
      <c r="G212" s="41">
        <f t="shared" si="1"/>
        <v>1807388.5900000003</v>
      </c>
      <c r="H212" s="41">
        <f t="shared" si="1"/>
        <v>967772.79</v>
      </c>
      <c r="I212" s="41">
        <f t="shared" si="1"/>
        <v>291540.46999999997</v>
      </c>
      <c r="J212" s="41">
        <f t="shared" si="1"/>
        <v>196723.03999999998</v>
      </c>
      <c r="K212" s="41">
        <f t="shared" si="1"/>
        <v>16240.11</v>
      </c>
      <c r="L212" s="41">
        <f t="shared" si="1"/>
        <v>7651288.8799999999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3600124.12</v>
      </c>
      <c r="I234" s="18"/>
      <c r="J234" s="18"/>
      <c r="K234" s="18"/>
      <c r="L234" s="19">
        <f>SUM(F234:K234)</f>
        <v>3600124.12</v>
      </c>
      <c r="M234" s="8"/>
      <c r="N234" s="264"/>
    </row>
    <row r="235" spans="1:14" s="3" customFormat="1" ht="12.2" customHeight="1" x14ac:dyDescent="0.15">
      <c r="A235" s="1" t="s">
        <v>439</v>
      </c>
      <c r="B235" s="2" t="s">
        <v>350</v>
      </c>
      <c r="C235" s="2" t="s">
        <v>291</v>
      </c>
      <c r="D235" s="2" t="s">
        <v>431</v>
      </c>
      <c r="E235" s="6">
        <v>1200</v>
      </c>
      <c r="F235" s="18"/>
      <c r="G235" s="18"/>
      <c r="H235" s="18">
        <f>19520.62+42853.58+230544.61+309431.95</f>
        <v>602350.76</v>
      </c>
      <c r="I235" s="18"/>
      <c r="J235" s="18"/>
      <c r="K235" s="18"/>
      <c r="L235" s="19">
        <f>SUM(F235:K235)</f>
        <v>602350.76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v>18942.8</v>
      </c>
      <c r="G241" s="18">
        <v>5098.03</v>
      </c>
      <c r="H241" s="18"/>
      <c r="I241" s="18"/>
      <c r="J241" s="18"/>
      <c r="K241" s="18"/>
      <c r="L241" s="19">
        <f t="shared" si="4"/>
        <v>24040.829999999998</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21914+31808+145325.69</f>
        <v>199047.69</v>
      </c>
      <c r="I245" s="18"/>
      <c r="J245" s="18"/>
      <c r="K245" s="18"/>
      <c r="L245" s="19">
        <f t="shared" si="4"/>
        <v>199047.69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18942.8</v>
      </c>
      <c r="G248" s="41">
        <f t="shared" si="5"/>
        <v>5098.03</v>
      </c>
      <c r="H248" s="41">
        <f t="shared" si="5"/>
        <v>4401522.57</v>
      </c>
      <c r="I248" s="41">
        <f t="shared" si="5"/>
        <v>0</v>
      </c>
      <c r="J248" s="41">
        <f t="shared" si="5"/>
        <v>0</v>
      </c>
      <c r="K248" s="41">
        <f t="shared" si="5"/>
        <v>0</v>
      </c>
      <c r="L248" s="41">
        <f t="shared" si="5"/>
        <v>4425563.4000000004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4390566.68</v>
      </c>
      <c r="G258" s="41">
        <f t="shared" si="8"/>
        <v>1812486.6200000003</v>
      </c>
      <c r="H258" s="41">
        <f t="shared" si="8"/>
        <v>5369295.3600000003</v>
      </c>
      <c r="I258" s="41">
        <f t="shared" si="8"/>
        <v>291540.46999999997</v>
      </c>
      <c r="J258" s="41">
        <f t="shared" si="8"/>
        <v>196723.03999999998</v>
      </c>
      <c r="K258" s="41">
        <f t="shared" si="8"/>
        <v>16240.11</v>
      </c>
      <c r="L258" s="41">
        <f t="shared" si="8"/>
        <v>12076852.280000001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16657.810000000001</v>
      </c>
      <c r="L264" s="19">
        <f>SUM(F264:K264)</f>
        <v>16657.810000000001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36657.81</v>
      </c>
      <c r="L271" s="41">
        <f t="shared" si="9"/>
        <v>36657.81</v>
      </c>
      <c r="M271" s="8"/>
      <c r="N271" s="264"/>
    </row>
    <row r="272" spans="1:14" s="34" customFormat="1" ht="12.2" customHeight="1" thickTop="1" x14ac:dyDescent="0.2">
      <c r="A272" s="43" t="s">
        <v>464</v>
      </c>
      <c r="B272" s="40">
        <v>10</v>
      </c>
      <c r="C272" s="40">
        <v>18</v>
      </c>
      <c r="D272" s="39" t="s">
        <v>431</v>
      </c>
      <c r="E272" s="40"/>
      <c r="F272" s="42">
        <f t="shared" ref="F272:L272" si="11">F258+F271</f>
        <v>4390566.68</v>
      </c>
      <c r="G272" s="42">
        <f t="shared" si="11"/>
        <v>1812486.6200000003</v>
      </c>
      <c r="H272" s="42">
        <f t="shared" si="11"/>
        <v>5369295.3600000003</v>
      </c>
      <c r="I272" s="42">
        <f t="shared" si="11"/>
        <v>291540.46999999997</v>
      </c>
      <c r="J272" s="42">
        <f t="shared" si="11"/>
        <v>196723.03999999998</v>
      </c>
      <c r="K272" s="42">
        <f t="shared" si="11"/>
        <v>52897.919999999998</v>
      </c>
      <c r="L272" s="42">
        <f t="shared" si="11"/>
        <v>12113510.090000002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19300+3152+8590.97</f>
        <v>31042.97</v>
      </c>
      <c r="G277" s="18">
        <f>1441.45+233.05+561.06+657.19</f>
        <v>2892.75</v>
      </c>
      <c r="H277" s="18"/>
      <c r="I277" s="18">
        <f>5000+1570+7350+10000+619+2514.89+48.4+1798.69</f>
        <v>28900.98</v>
      </c>
      <c r="J277" s="18"/>
      <c r="K277" s="18"/>
      <c r="L277" s="19">
        <f>SUM(F277:K277)</f>
        <v>62836.7</v>
      </c>
      <c r="M277" s="8"/>
      <c r="N277" s="264"/>
    </row>
    <row r="278" spans="1:14" s="3" customFormat="1" ht="12.2" customHeight="1" x14ac:dyDescent="0.15">
      <c r="A278" s="1" t="s">
        <v>439</v>
      </c>
      <c r="B278" s="2" t="s">
        <v>357</v>
      </c>
      <c r="C278" s="2" t="s">
        <v>291</v>
      </c>
      <c r="D278" s="2" t="s">
        <v>431</v>
      </c>
      <c r="E278" s="6">
        <v>1200</v>
      </c>
      <c r="F278" s="18">
        <f>4565+1632.5+25817.87+400+22962.19+1756.25+2775</f>
        <v>59908.81</v>
      </c>
      <c r="G278" s="18">
        <f>1918.49+23.4+349.21+119.04+663.05+189.12+1739.33+134.33+308.84+212.28</f>
        <v>5657.0899999999992</v>
      </c>
      <c r="H278" s="18">
        <f>1395+21206.86+550+1760</f>
        <v>24911.86</v>
      </c>
      <c r="I278" s="18"/>
      <c r="J278" s="18"/>
      <c r="K278" s="18"/>
      <c r="L278" s="19">
        <f>SUM(F278:K278)</f>
        <v>90477.759999999995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12272.76+1000</f>
        <v>13272.76</v>
      </c>
      <c r="G282" s="18">
        <f>4794.66+264.24+938.7+2063.12+76.49</f>
        <v>8137.2099999999991</v>
      </c>
      <c r="H282" s="18">
        <f>987.64+9000+1848.25+8320+1050+1800</f>
        <v>23005.89</v>
      </c>
      <c r="I282" s="18">
        <f>1460.16+14199.17</f>
        <v>15659.33</v>
      </c>
      <c r="J282" s="18">
        <v>1170</v>
      </c>
      <c r="K282" s="18"/>
      <c r="L282" s="19">
        <f t="shared" ref="L282:L288" si="12">SUM(F282:K282)</f>
        <v>61245.19</v>
      </c>
      <c r="M282" s="8"/>
      <c r="N282" s="264"/>
    </row>
    <row r="283" spans="1:14" s="3" customFormat="1" ht="12.2" customHeight="1" x14ac:dyDescent="0.15">
      <c r="A283" s="1" t="s">
        <v>443</v>
      </c>
      <c r="B283" s="2" t="s">
        <v>357</v>
      </c>
      <c r="C283" s="2" t="s">
        <v>295</v>
      </c>
      <c r="D283" s="2" t="s">
        <v>431</v>
      </c>
      <c r="E283" s="6">
        <v>2200</v>
      </c>
      <c r="F283" s="18">
        <f>987.5</f>
        <v>987.5</v>
      </c>
      <c r="G283" s="18">
        <f>69.44+166.85</f>
        <v>236.29</v>
      </c>
      <c r="H283" s="18">
        <f>1260+2775+1833.51+653.49+4400+3500+3706.63+1982+2601+1500</f>
        <v>24211.63</v>
      </c>
      <c r="I283" s="18">
        <f>189.9+7.11+13584.17</f>
        <v>13781.18</v>
      </c>
      <c r="J283" s="18">
        <f>15806.76+16575.31</f>
        <v>32382.07</v>
      </c>
      <c r="K283" s="18"/>
      <c r="L283" s="19">
        <f t="shared" si="12"/>
        <v>71598.670000000013</v>
      </c>
      <c r="M283" s="8"/>
      <c r="N283" s="264"/>
    </row>
    <row r="284" spans="1:14" s="3" customFormat="1" ht="12.2" customHeight="1" x14ac:dyDescent="0.15">
      <c r="A284" s="1" t="s">
        <v>444</v>
      </c>
      <c r="B284" s="2" t="s">
        <v>357</v>
      </c>
      <c r="C284" s="2" t="s">
        <v>296</v>
      </c>
      <c r="D284" s="2" t="s">
        <v>431</v>
      </c>
      <c r="E284" s="6">
        <v>2300</v>
      </c>
      <c r="F284" s="18">
        <v>6703.7</v>
      </c>
      <c r="G284" s="18">
        <v>512.83000000000004</v>
      </c>
      <c r="H284" s="18"/>
      <c r="I284" s="18"/>
      <c r="J284" s="18"/>
      <c r="K284" s="18"/>
      <c r="L284" s="19">
        <f t="shared" si="12"/>
        <v>7216.53</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f>8708.94+44933.89</f>
        <v>53642.83</v>
      </c>
      <c r="G287" s="18">
        <f>5475.2+340.24+534.15+1762.25</f>
        <v>8111.8399999999992</v>
      </c>
      <c r="H287" s="18">
        <f>750+1850+29409.83</f>
        <v>32009.83</v>
      </c>
      <c r="I287" s="18">
        <f>492.38+553.53+299.9+249.91+19262.7</f>
        <v>20858.420000000002</v>
      </c>
      <c r="J287" s="18"/>
      <c r="K287" s="18"/>
      <c r="L287" s="19">
        <f t="shared" si="12"/>
        <v>114622.92</v>
      </c>
      <c r="M287" s="8"/>
      <c r="N287" s="264"/>
    </row>
    <row r="288" spans="1:14" s="3" customFormat="1" ht="12.2" customHeight="1" x14ac:dyDescent="0.15">
      <c r="A288" s="1" t="s">
        <v>448</v>
      </c>
      <c r="B288" s="2" t="s">
        <v>357</v>
      </c>
      <c r="C288" s="2" t="s">
        <v>300</v>
      </c>
      <c r="D288" s="2" t="s">
        <v>431</v>
      </c>
      <c r="E288" s="6">
        <v>2700</v>
      </c>
      <c r="F288" s="18"/>
      <c r="G288" s="18"/>
      <c r="H288" s="18">
        <v>6692.22</v>
      </c>
      <c r="I288" s="18"/>
      <c r="J288" s="18"/>
      <c r="K288" s="18"/>
      <c r="L288" s="19">
        <f t="shared" si="12"/>
        <v>6692.22</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165558.57</v>
      </c>
      <c r="G291" s="42">
        <f t="shared" si="13"/>
        <v>25548.010000000002</v>
      </c>
      <c r="H291" s="42">
        <f t="shared" si="13"/>
        <v>110831.43000000001</v>
      </c>
      <c r="I291" s="42">
        <f t="shared" si="13"/>
        <v>79199.91</v>
      </c>
      <c r="J291" s="42">
        <f t="shared" si="13"/>
        <v>33552.07</v>
      </c>
      <c r="K291" s="42">
        <f t="shared" si="13"/>
        <v>0</v>
      </c>
      <c r="L291" s="41">
        <f t="shared" si="13"/>
        <v>414689.99</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v>59600</v>
      </c>
      <c r="I315" s="18"/>
      <c r="J315" s="18"/>
      <c r="K315" s="18"/>
      <c r="L315" s="19">
        <f>SUM(F315:K315)</f>
        <v>59600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59600</v>
      </c>
      <c r="I329" s="42">
        <f t="shared" si="17"/>
        <v>0</v>
      </c>
      <c r="J329" s="42">
        <f t="shared" si="17"/>
        <v>0</v>
      </c>
      <c r="K329" s="42">
        <f t="shared" si="17"/>
        <v>0</v>
      </c>
      <c r="L329" s="41">
        <f t="shared" si="17"/>
        <v>59600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165558.57</v>
      </c>
      <c r="G339" s="41">
        <f t="shared" si="20"/>
        <v>25548.010000000002</v>
      </c>
      <c r="H339" s="41">
        <f t="shared" si="20"/>
        <v>170431.43</v>
      </c>
      <c r="I339" s="41">
        <f t="shared" si="20"/>
        <v>79199.91</v>
      </c>
      <c r="J339" s="41">
        <f t="shared" si="20"/>
        <v>33552.07</v>
      </c>
      <c r="K339" s="41">
        <f t="shared" si="20"/>
        <v>0</v>
      </c>
      <c r="L339" s="41">
        <f t="shared" si="20"/>
        <v>474289.99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165558.57</v>
      </c>
      <c r="G353" s="41">
        <f>G339</f>
        <v>25548.010000000002</v>
      </c>
      <c r="H353" s="41">
        <f>H339</f>
        <v>170431.43</v>
      </c>
      <c r="I353" s="41">
        <f>I339</f>
        <v>79199.91</v>
      </c>
      <c r="J353" s="41">
        <f>J339</f>
        <v>33552.07</v>
      </c>
      <c r="K353" s="47">
        <f>K339+K352</f>
        <v>0</v>
      </c>
      <c r="L353" s="41">
        <f>L339+L352</f>
        <v>474289.99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56554.68</v>
      </c>
      <c r="G359" s="18">
        <f>20359.2+1244.1+63.24+145.32+3790.57+4342.41+85.06+336.65</f>
        <v>30366.550000000003</v>
      </c>
      <c r="H359" s="18">
        <v>969</v>
      </c>
      <c r="I359" s="18">
        <f>2423.45+394.63+37528.98+5327.09+890.21</f>
        <v>46564.360000000008</v>
      </c>
      <c r="J359" s="18"/>
      <c r="K359" s="18">
        <f>180.01+700</f>
        <v>880.01</v>
      </c>
      <c r="L359" s="13">
        <f>SUM(F359:K359)</f>
        <v>135334.60000000003</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56554.68</v>
      </c>
      <c r="G363" s="47">
        <f t="shared" si="22"/>
        <v>30366.550000000003</v>
      </c>
      <c r="H363" s="47">
        <f t="shared" si="22"/>
        <v>969</v>
      </c>
      <c r="I363" s="47">
        <f t="shared" si="22"/>
        <v>46564.360000000008</v>
      </c>
      <c r="J363" s="47">
        <f t="shared" si="22"/>
        <v>0</v>
      </c>
      <c r="K363" s="47">
        <f t="shared" si="22"/>
        <v>880.01</v>
      </c>
      <c r="L363" s="47">
        <f t="shared" si="22"/>
        <v>135334.60000000003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37528.98+5327.09</f>
        <v>42856.070000000007</v>
      </c>
      <c r="G368" s="18"/>
      <c r="H368" s="18"/>
      <c r="I368" s="56">
        <f>SUM(F368:H368)</f>
        <v>42856.070000000007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46564.36-42856.07</f>
        <v>3708.2900000000009</v>
      </c>
      <c r="G369" s="63"/>
      <c r="H369" s="63"/>
      <c r="I369" s="56">
        <f>SUM(F369:H369)</f>
        <v>3708.2900000000009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46564.360000000008</v>
      </c>
      <c r="G370" s="47">
        <f>SUM(G368:G369)</f>
        <v>0</v>
      </c>
      <c r="H370" s="47">
        <f>SUM(H368:H369)</f>
        <v>0</v>
      </c>
      <c r="I370" s="47">
        <f>SUM(I368:I369)</f>
        <v>46564.360000000008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20000</v>
      </c>
      <c r="H397" s="18">
        <f>11507.66+2196.01</f>
        <v>13703.67</v>
      </c>
      <c r="I397" s="18"/>
      <c r="J397" s="24" t="s">
        <v>288</v>
      </c>
      <c r="K397" s="24" t="s">
        <v>288</v>
      </c>
      <c r="L397" s="56">
        <f t="shared" si="26"/>
        <v>33703.67</v>
      </c>
      <c r="M397" s="8"/>
      <c r="N397" s="264"/>
    </row>
    <row r="398" spans="1:14" s="3" customFormat="1" ht="12.2" customHeight="1" x14ac:dyDescent="0.15">
      <c r="A398" s="79" t="s">
        <v>515</v>
      </c>
      <c r="B398" s="2" t="s">
        <v>381</v>
      </c>
      <c r="C398" s="6">
        <v>10</v>
      </c>
      <c r="D398" s="2" t="s">
        <v>432</v>
      </c>
      <c r="E398" s="6"/>
      <c r="F398" s="18"/>
      <c r="G398" s="18"/>
      <c r="H398" s="18">
        <v>7599.72</v>
      </c>
      <c r="I398" s="18"/>
      <c r="J398" s="24" t="s">
        <v>288</v>
      </c>
      <c r="K398" s="24" t="s">
        <v>288</v>
      </c>
      <c r="L398" s="56">
        <f t="shared" si="26"/>
        <v>7599.72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21303.39</v>
      </c>
      <c r="I402" s="47">
        <f>SUM(I396:I401)</f>
        <v>0</v>
      </c>
      <c r="J402" s="45" t="s">
        <v>288</v>
      </c>
      <c r="K402" s="45" t="s">
        <v>288</v>
      </c>
      <c r="L402" s="47">
        <f>SUM(L396:L401)</f>
        <v>41303.39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20000</v>
      </c>
      <c r="H409" s="47">
        <f>H394+H402+H408</f>
        <v>21303.39</v>
      </c>
      <c r="I409" s="47">
        <f>I394+I402+I408</f>
        <v>0</v>
      </c>
      <c r="J409" s="24" t="s">
        <v>288</v>
      </c>
      <c r="K409" s="24" t="s">
        <v>288</v>
      </c>
      <c r="L409" s="47">
        <f>L394+L402+L408</f>
        <v>41303.39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411138.2</v>
      </c>
      <c r="H442" s="18"/>
      <c r="I442" s="56">
        <f t="shared" si="33"/>
        <v>411138.2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411138.2</v>
      </c>
      <c r="H447" s="13">
        <f>SUM(H440:H446)</f>
        <v>0</v>
      </c>
      <c r="I447" s="13">
        <f>SUM(I440:I446)</f>
        <v>411138.2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411138.2</v>
      </c>
      <c r="H460" s="18"/>
      <c r="I460" s="56">
        <f t="shared" si="34"/>
        <v>411138.2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411138.2</v>
      </c>
      <c r="H461" s="83">
        <f>SUM(H455:H460)</f>
        <v>0</v>
      </c>
      <c r="I461" s="83">
        <f>SUM(I455:I460)</f>
        <v>411138.2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411138.2</v>
      </c>
      <c r="H462" s="42">
        <f>H453+H461</f>
        <v>0</v>
      </c>
      <c r="I462" s="42">
        <f>I453+I461</f>
        <v>411138.2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954807.23</v>
      </c>
      <c r="G466" s="18">
        <v>5357.82</v>
      </c>
      <c r="H466" s="18"/>
      <c r="I466" s="18"/>
      <c r="J466" s="18">
        <v>369834.81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11988618.55+56208.64</f>
        <v>12044827.190000001</v>
      </c>
      <c r="G469" s="18">
        <f>133782.07</f>
        <v>133782.07</v>
      </c>
      <c r="H469" s="18">
        <v>474289.99</v>
      </c>
      <c r="I469" s="18"/>
      <c r="J469" s="18">
        <f>21303.39+20000</f>
        <v>41303.39</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c r="I470" s="18"/>
      <c r="J470" s="18">
        <v>0</v>
      </c>
      <c r="K470" s="24" t="s">
        <v>288</v>
      </c>
      <c r="L470" s="24" t="s">
        <v>288</v>
      </c>
      <c r="N470" s="263"/>
    </row>
    <row r="471" spans="1:14" s="52" customFormat="1" ht="12.2" customHeight="1" x14ac:dyDescent="0.2">
      <c r="A471" s="92" t="s">
        <v>425</v>
      </c>
      <c r="B471" s="75">
        <v>19</v>
      </c>
      <c r="C471" s="80">
        <v>4</v>
      </c>
      <c r="D471" s="2" t="s">
        <v>432</v>
      </c>
      <c r="E471" s="80"/>
      <c r="F471" s="53">
        <f>SUM(F469:F470)</f>
        <v>12044827.190000001</v>
      </c>
      <c r="G471" s="53">
        <f>SUM(G469:G470)</f>
        <v>133782.07</v>
      </c>
      <c r="H471" s="53">
        <f>SUM(H469:H470)</f>
        <v>474289.99</v>
      </c>
      <c r="I471" s="53">
        <f>SUM(I469:I470)</f>
        <v>0</v>
      </c>
      <c r="J471" s="53">
        <f>SUM(J469:J470)</f>
        <v>41303.39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12093510.09+20000</f>
        <v>12113510.09</v>
      </c>
      <c r="G473" s="18">
        <v>135334.6</v>
      </c>
      <c r="H473" s="18">
        <v>474289.99</v>
      </c>
      <c r="I473" s="18"/>
      <c r="J473" s="18"/>
      <c r="K473" s="24" t="s">
        <v>288</v>
      </c>
      <c r="L473" s="24" t="s">
        <v>288</v>
      </c>
      <c r="N473" s="263"/>
    </row>
    <row r="474" spans="1:14" s="52" customFormat="1" ht="12.2" customHeight="1" x14ac:dyDescent="0.2">
      <c r="A474" s="93" t="s">
        <v>613</v>
      </c>
      <c r="B474" s="75">
        <v>19</v>
      </c>
      <c r="C474" s="80">
        <v>6</v>
      </c>
      <c r="D474" s="2" t="s">
        <v>432</v>
      </c>
      <c r="E474" s="80"/>
      <c r="F474" s="18">
        <v>0</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12113510.09</v>
      </c>
      <c r="G475" s="53">
        <f>SUM(G473:G474)</f>
        <v>135334.6</v>
      </c>
      <c r="H475" s="53">
        <f>SUM(H473:H474)</f>
        <v>474289.99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886124.33000000194</v>
      </c>
      <c r="G477" s="53">
        <f>(G466+G471)- G475</f>
        <v>3805.2900000000081</v>
      </c>
      <c r="H477" s="53">
        <f>(H466+H471)- H475</f>
        <v>0</v>
      </c>
      <c r="I477" s="53">
        <f>(I466+I471)- I475</f>
        <v>0</v>
      </c>
      <c r="J477" s="53">
        <f>(J466+J471)- J475</f>
        <v>411138.2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v>52148.88</v>
      </c>
      <c r="G508" s="144">
        <v>37105.67</v>
      </c>
      <c r="H508" s="144"/>
      <c r="I508" s="144">
        <v>84528.21</v>
      </c>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710884.73+59908.81</f>
        <v>770793.54</v>
      </c>
      <c r="G522" s="18">
        <f>232187.81+5657.09</f>
        <v>237844.9</v>
      </c>
      <c r="H522" s="18">
        <f>98203.06+24911.86</f>
        <v>123114.92</v>
      </c>
      <c r="I522" s="18">
        <v>2503.33</v>
      </c>
      <c r="J522" s="18">
        <v>1453.16</v>
      </c>
      <c r="K522" s="18"/>
      <c r="L522" s="88">
        <f>SUM(F522:K522)</f>
        <v>1135709.8500000001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770793.54</v>
      </c>
      <c r="G525" s="108">
        <f t="shared" ref="G525:L525" si="36">SUM(G522:G524)</f>
        <v>237844.9</v>
      </c>
      <c r="H525" s="108">
        <f t="shared" si="36"/>
        <v>123114.92</v>
      </c>
      <c r="I525" s="108">
        <f t="shared" si="36"/>
        <v>2503.33</v>
      </c>
      <c r="J525" s="108">
        <f t="shared" si="36"/>
        <v>1453.16</v>
      </c>
      <c r="K525" s="108">
        <f t="shared" si="36"/>
        <v>0</v>
      </c>
      <c r="L525" s="89">
        <f t="shared" si="36"/>
        <v>1135709.8500000001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321162.59+13272.76</f>
        <v>334435.35000000003</v>
      </c>
      <c r="G527" s="18">
        <f>152384.67+8137.21</f>
        <v>160521.88</v>
      </c>
      <c r="H527" s="18">
        <f>129135.01+23005.89</f>
        <v>152140.9</v>
      </c>
      <c r="I527" s="18">
        <f>8644.15+15659.33</f>
        <v>24303.48</v>
      </c>
      <c r="J527" s="18">
        <f>4431.92+1170</f>
        <v>5601.92</v>
      </c>
      <c r="K527" s="18"/>
      <c r="L527" s="88">
        <f>SUM(F527:K527)</f>
        <v>677003.53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334435.35000000003</v>
      </c>
      <c r="G530" s="89">
        <f t="shared" ref="G530:L530" si="37">SUM(G527:G529)</f>
        <v>160521.88</v>
      </c>
      <c r="H530" s="89">
        <f t="shared" si="37"/>
        <v>152140.9</v>
      </c>
      <c r="I530" s="89">
        <f t="shared" si="37"/>
        <v>24303.48</v>
      </c>
      <c r="J530" s="89">
        <f t="shared" si="37"/>
        <v>5601.92</v>
      </c>
      <c r="K530" s="89">
        <f t="shared" si="37"/>
        <v>0</v>
      </c>
      <c r="L530" s="89">
        <f t="shared" si="37"/>
        <v>677003.53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94714+38593.47-18942.8</f>
        <v>114364.67</v>
      </c>
      <c r="G532" s="18">
        <f>1754.43+150.72+346.8+10166.2+4258.81+16502.99+65.75+586.79-5098.03+219.94</f>
        <v>28954.400000000005</v>
      </c>
      <c r="H532" s="18">
        <f>698.44+1427.09</f>
        <v>2125.5299999999997</v>
      </c>
      <c r="I532" s="18">
        <v>193.12</v>
      </c>
      <c r="J532" s="18"/>
      <c r="K532" s="18"/>
      <c r="L532" s="88">
        <f>SUM(F532:K532)</f>
        <v>145637.72</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18942.8</v>
      </c>
      <c r="G534" s="18">
        <v>5098.03</v>
      </c>
      <c r="H534" s="18"/>
      <c r="I534" s="18"/>
      <c r="J534" s="18"/>
      <c r="K534" s="18"/>
      <c r="L534" s="88">
        <f>SUM(F534:K534)</f>
        <v>24040.829999999998</v>
      </c>
      <c r="M534" s="8"/>
      <c r="N534" s="264"/>
    </row>
    <row r="535" spans="1:14" s="3" customFormat="1" ht="12.2" customHeight="1" thickTop="1" x14ac:dyDescent="0.15">
      <c r="A535" s="139" t="s">
        <v>67</v>
      </c>
      <c r="B535" s="107">
        <v>21</v>
      </c>
      <c r="C535" s="107">
        <v>12</v>
      </c>
      <c r="D535" s="158" t="s">
        <v>432</v>
      </c>
      <c r="E535" s="107"/>
      <c r="F535" s="89">
        <f>SUM(F532:F534)</f>
        <v>133307.47</v>
      </c>
      <c r="G535" s="89">
        <f t="shared" ref="G535:L535" si="38">SUM(G532:G534)</f>
        <v>34052.430000000008</v>
      </c>
      <c r="H535" s="89">
        <f t="shared" si="38"/>
        <v>2125.5299999999997</v>
      </c>
      <c r="I535" s="89">
        <f t="shared" si="38"/>
        <v>193.12</v>
      </c>
      <c r="J535" s="89">
        <f t="shared" si="38"/>
        <v>0</v>
      </c>
      <c r="K535" s="89">
        <f t="shared" si="38"/>
        <v>0</v>
      </c>
      <c r="L535" s="89">
        <f t="shared" si="38"/>
        <v>169678.55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c r="H537" s="18">
        <f>13915.3-4638.43</f>
        <v>9276.869999999999</v>
      </c>
      <c r="I537" s="18"/>
      <c r="J537" s="18"/>
      <c r="K537" s="18"/>
      <c r="L537" s="88">
        <f>SUM(F537:K537)</f>
        <v>9276.869999999999</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v>0</v>
      </c>
      <c r="G539" s="18"/>
      <c r="H539" s="18">
        <v>4638.43</v>
      </c>
      <c r="I539" s="18"/>
      <c r="J539" s="18"/>
      <c r="K539" s="18"/>
      <c r="L539" s="88">
        <f>SUM(F539:K539)</f>
        <v>4638.43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13915.3</v>
      </c>
      <c r="I540" s="89">
        <f t="shared" si="39"/>
        <v>0</v>
      </c>
      <c r="J540" s="89">
        <f t="shared" si="39"/>
        <v>0</v>
      </c>
      <c r="K540" s="89">
        <f t="shared" si="39"/>
        <v>0</v>
      </c>
      <c r="L540" s="89">
        <f t="shared" si="39"/>
        <v>13915.3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2688+16500+33376+18256</f>
        <v>70820</v>
      </c>
      <c r="I542" s="18"/>
      <c r="J542" s="18"/>
      <c r="K542" s="18"/>
      <c r="L542" s="88">
        <f>SUM(F542:K542)</f>
        <v>70820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f>21914+31808</f>
        <v>53722</v>
      </c>
      <c r="I544" s="18"/>
      <c r="J544" s="18"/>
      <c r="K544" s="18"/>
      <c r="L544" s="88">
        <f>SUM(F544:K544)</f>
        <v>53722</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124542</v>
      </c>
      <c r="I545" s="193">
        <f t="shared" si="40"/>
        <v>0</v>
      </c>
      <c r="J545" s="193">
        <f t="shared" si="40"/>
        <v>0</v>
      </c>
      <c r="K545" s="193">
        <f t="shared" si="40"/>
        <v>0</v>
      </c>
      <c r="L545" s="193">
        <f t="shared" si="40"/>
        <v>124542</v>
      </c>
      <c r="M545" s="8"/>
      <c r="N545" s="264"/>
    </row>
    <row r="546" spans="1:14" s="3" customFormat="1" ht="12.2" customHeight="1" thickTop="1" x14ac:dyDescent="0.15">
      <c r="A546" s="98" t="s">
        <v>72</v>
      </c>
      <c r="B546" s="107">
        <v>21</v>
      </c>
      <c r="C546" s="107">
        <v>21</v>
      </c>
      <c r="D546" s="158" t="s">
        <v>432</v>
      </c>
      <c r="E546" s="107"/>
      <c r="F546" s="89">
        <f>F525+F530+F535+F540+F545</f>
        <v>1238536.3600000001</v>
      </c>
      <c r="G546" s="89">
        <f t="shared" ref="G546:L546" si="41">G525+G530+G535+G540+G545</f>
        <v>432419.21</v>
      </c>
      <c r="H546" s="89">
        <f t="shared" si="41"/>
        <v>415838.65</v>
      </c>
      <c r="I546" s="89">
        <f t="shared" si="41"/>
        <v>26999.929999999997</v>
      </c>
      <c r="J546" s="89">
        <f t="shared" si="41"/>
        <v>7055.08</v>
      </c>
      <c r="K546" s="89">
        <f t="shared" si="41"/>
        <v>0</v>
      </c>
      <c r="L546" s="89">
        <f t="shared" si="41"/>
        <v>2120849.2300000004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1135709.8500000001</v>
      </c>
      <c r="G550" s="87">
        <f>L527</f>
        <v>677003.53</v>
      </c>
      <c r="H550" s="87">
        <f>L532</f>
        <v>145637.72</v>
      </c>
      <c r="I550" s="87">
        <f>L537</f>
        <v>9276.869999999999</v>
      </c>
      <c r="J550" s="87">
        <f>L542</f>
        <v>70820</v>
      </c>
      <c r="K550" s="87">
        <f>SUM(F550:J550)</f>
        <v>2038447.9700000002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24040.829999999998</v>
      </c>
      <c r="I552" s="87">
        <f>L539</f>
        <v>4638.43</v>
      </c>
      <c r="J552" s="87">
        <f>L544</f>
        <v>53722</v>
      </c>
      <c r="K552" s="87">
        <f>SUM(F552:J552)</f>
        <v>82401.259999999995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1135709.8500000001</v>
      </c>
      <c r="G553" s="89">
        <f t="shared" si="42"/>
        <v>677003.53</v>
      </c>
      <c r="H553" s="89">
        <f t="shared" si="42"/>
        <v>169678.55</v>
      </c>
      <c r="I553" s="89">
        <f t="shared" si="42"/>
        <v>13915.3</v>
      </c>
      <c r="J553" s="89">
        <f t="shared" si="42"/>
        <v>124542</v>
      </c>
      <c r="K553" s="89">
        <f t="shared" si="42"/>
        <v>2120849.23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4900</v>
      </c>
      <c r="G563" s="18">
        <v>362.68</v>
      </c>
      <c r="H563" s="18"/>
      <c r="I563" s="18">
        <v>17.48</v>
      </c>
      <c r="J563" s="18"/>
      <c r="K563" s="18"/>
      <c r="L563" s="88">
        <f>SUM(F563:K563)</f>
        <v>5280.16</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4900</v>
      </c>
      <c r="G566" s="89">
        <f t="shared" si="44"/>
        <v>362.68</v>
      </c>
      <c r="H566" s="89">
        <f t="shared" si="44"/>
        <v>0</v>
      </c>
      <c r="I566" s="89">
        <f t="shared" si="44"/>
        <v>17.48</v>
      </c>
      <c r="J566" s="89">
        <f t="shared" si="44"/>
        <v>0</v>
      </c>
      <c r="K566" s="89">
        <f t="shared" si="44"/>
        <v>0</v>
      </c>
      <c r="L566" s="89">
        <f t="shared" si="44"/>
        <v>5280.16</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4900</v>
      </c>
      <c r="G572" s="89">
        <f t="shared" ref="G572:L572" si="46">G561+G566+G571</f>
        <v>362.68</v>
      </c>
      <c r="H572" s="89">
        <f t="shared" si="46"/>
        <v>0</v>
      </c>
      <c r="I572" s="89">
        <f t="shared" si="46"/>
        <v>17.48</v>
      </c>
      <c r="J572" s="89">
        <f t="shared" si="46"/>
        <v>0</v>
      </c>
      <c r="K572" s="89">
        <f t="shared" si="46"/>
        <v>0</v>
      </c>
      <c r="L572" s="89">
        <f t="shared" si="46"/>
        <v>5280.16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3600124.12</v>
      </c>
      <c r="I578" s="87">
        <f t="shared" si="47"/>
        <v>3600124.12</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309431.95</v>
      </c>
      <c r="I582" s="87">
        <f t="shared" si="47"/>
        <v>309431.95</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99028.07</v>
      </c>
      <c r="G583" s="18">
        <v>0</v>
      </c>
      <c r="H583" s="18">
        <v>103618.86</v>
      </c>
      <c r="I583" s="87">
        <f t="shared" si="47"/>
        <v>202646.93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126925.75</v>
      </c>
      <c r="I584" s="87">
        <f t="shared" si="47"/>
        <v>126925.75</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519020.33-145325.69</f>
        <v>373694.64</v>
      </c>
      <c r="I592" s="18"/>
      <c r="J592" s="18">
        <v>145325.69</v>
      </c>
      <c r="K592" s="104">
        <f t="shared" ref="K592:K598" si="48">SUM(H592:J592)</f>
        <v>519020.33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70820</v>
      </c>
      <c r="I593" s="18"/>
      <c r="J593" s="18">
        <f>21914+31808</f>
        <v>53722</v>
      </c>
      <c r="K593" s="104">
        <f t="shared" si="48"/>
        <v>124542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3068.6</v>
      </c>
      <c r="I595" s="18"/>
      <c r="J595" s="18"/>
      <c r="K595" s="104">
        <f t="shared" si="48"/>
        <v>3068.6</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495.8</v>
      </c>
      <c r="I596" s="18"/>
      <c r="J596" s="18"/>
      <c r="K596" s="104">
        <f t="shared" si="48"/>
        <v>495.8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20670</v>
      </c>
      <c r="I597" s="18"/>
      <c r="J597" s="18"/>
      <c r="K597" s="104">
        <f t="shared" si="48"/>
        <v>20670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468749.04</v>
      </c>
      <c r="I599" s="108">
        <f>SUM(I592:I598)</f>
        <v>0</v>
      </c>
      <c r="J599" s="108">
        <f>SUM(J592:J598)</f>
        <v>199047.69</v>
      </c>
      <c r="K599" s="108">
        <f>SUM(K592:K598)</f>
        <v>667796.7300000001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196723.04+33552.07</f>
        <v>230275.11000000002</v>
      </c>
      <c r="I605" s="18"/>
      <c r="J605" s="18"/>
      <c r="K605" s="104">
        <f>SUM(H605:J605)</f>
        <v>230275.11000000002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230275.11000000002</v>
      </c>
      <c r="I606" s="108">
        <f>SUM(I603:I605)</f>
        <v>0</v>
      </c>
      <c r="J606" s="108">
        <f>SUM(J603:J605)</f>
        <v>0</v>
      </c>
      <c r="K606" s="108">
        <f>SUM(K603:K605)</f>
        <v>230275.11000000002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1092097.26</v>
      </c>
      <c r="H618" s="109">
        <f>SUM(F52)</f>
        <v>1092097.26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20434.25</v>
      </c>
      <c r="H619" s="109">
        <f>SUM(G52)</f>
        <v>20434.25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33873.03</v>
      </c>
      <c r="H620" s="109">
        <f>SUM(H52)</f>
        <v>33873.03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411138.2</v>
      </c>
      <c r="H622" s="109">
        <f>SUM(J52)</f>
        <v>411138.2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886124.33000000007</v>
      </c>
      <c r="H623" s="109">
        <f>F477</f>
        <v>886124.33000000194</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3805.29</v>
      </c>
      <c r="H624" s="109">
        <f>G477</f>
        <v>3805.2900000000081</v>
      </c>
      <c r="I624" s="121" t="s">
        <v>102</v>
      </c>
      <c r="J624" s="109">
        <f t="shared" si="50"/>
        <v>-8.1854523159563541E-12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411138.2</v>
      </c>
      <c r="H627" s="109">
        <f>J477</f>
        <v>411138.2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12044827.190000001</v>
      </c>
      <c r="H628" s="104">
        <f>SUM(F469)</f>
        <v>12044827.190000001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133782.07</v>
      </c>
      <c r="H629" s="104">
        <f>SUM(G469)</f>
        <v>133782.07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474289.99000000005</v>
      </c>
      <c r="H630" s="104">
        <f>SUM(H469)</f>
        <v>474289.99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41303.39</v>
      </c>
      <c r="H632" s="104">
        <f>SUM(J469)</f>
        <v>41303.39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12113510.090000002</v>
      </c>
      <c r="H633" s="104">
        <f>SUM(F473)</f>
        <v>12113510.09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474289.99</v>
      </c>
      <c r="H634" s="104">
        <f>SUM(H473)</f>
        <v>474289.99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46564.360000000008</v>
      </c>
      <c r="H635" s="104">
        <f>I370</f>
        <v>46564.360000000008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135334.60000000003</v>
      </c>
      <c r="H636" s="104">
        <f>SUM(G473)</f>
        <v>135334.6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41303.39</v>
      </c>
      <c r="H638" s="164">
        <f>SUM(J469)</f>
        <v>41303.39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411138.2</v>
      </c>
      <c r="H641" s="104">
        <f>SUM(G462)</f>
        <v>411138.2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411138.2</v>
      </c>
      <c r="H643" s="104">
        <f>SUM(I462)</f>
        <v>411138.2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21303.39</v>
      </c>
      <c r="H645" s="104">
        <f>H409</f>
        <v>21303.39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41303.39</v>
      </c>
      <c r="H647" s="104">
        <f>L409</f>
        <v>41303.39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667796.7300000001</v>
      </c>
      <c r="H648" s="104">
        <f>L209+L227+L245</f>
        <v>667796.73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230275.11000000002</v>
      </c>
      <c r="H649" s="104">
        <f>(J258+J339)-(J256+J337)</f>
        <v>230275.11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468749.04</v>
      </c>
      <c r="H650" s="104">
        <f>H599</f>
        <v>468749.04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199047.69</v>
      </c>
      <c r="H652" s="104">
        <f>J599</f>
        <v>199047.69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16657.810000000001</v>
      </c>
      <c r="H653" s="104">
        <f>K264+K346</f>
        <v>16657.810000000001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8201313.4699999997</v>
      </c>
      <c r="G661" s="19">
        <f>(L230+L310+L360)</f>
        <v>0</v>
      </c>
      <c r="H661" s="19">
        <f>(L248+L329+L361)</f>
        <v>4485163.4000000004</v>
      </c>
      <c r="I661" s="19">
        <f>SUM(F661:H661)</f>
        <v>12686476.870000001</v>
      </c>
      <c r="J661" s="13"/>
      <c r="K661" s="13"/>
      <c r="L661" s="13"/>
      <c r="M661" s="9"/>
    </row>
    <row r="662" spans="1:13" s="3" customFormat="1" ht="12.2" customHeight="1" x14ac:dyDescent="0.2">
      <c r="A662" s="1" t="s">
        <v>127</v>
      </c>
      <c r="F662" s="19">
        <f>(L359/IF(SUM(L359:L361)=0,1,SUM(L359:L361))*(SUM(G97:G110)))</f>
        <v>14178.67</v>
      </c>
      <c r="G662" s="19">
        <f>(L360/IF(SUM(L359:L361)=0,1,SUM(L359:L361))*(SUM(G97:G110)))</f>
        <v>0</v>
      </c>
      <c r="H662" s="19">
        <f>(L361/IF(SUM(L359:L361)=0,1,SUM(L359:L361))*(SUM(G97:G110)))</f>
        <v>0</v>
      </c>
      <c r="I662" s="19">
        <f>SUM(F662:H662)</f>
        <v>14178.67</v>
      </c>
      <c r="J662"/>
      <c r="K662" s="13"/>
      <c r="L662" s="13"/>
      <c r="M662" s="8"/>
    </row>
    <row r="663" spans="1:13" s="3" customFormat="1" ht="12.2" customHeight="1" x14ac:dyDescent="0.2">
      <c r="A663" s="1" t="s">
        <v>128</v>
      </c>
      <c r="F663" s="19">
        <f>(L209+L288)-(J209+J288)</f>
        <v>475441.25999999995</v>
      </c>
      <c r="G663" s="19">
        <f>(L227+L307)-(J227+J307)</f>
        <v>0</v>
      </c>
      <c r="H663" s="19">
        <f>(L245+L326)-(J245+J326)</f>
        <v>199047.69</v>
      </c>
      <c r="I663" s="19">
        <f>SUM(F663:H663)</f>
        <v>674488.95</v>
      </c>
      <c r="J663"/>
      <c r="K663" s="13"/>
      <c r="L663" s="13"/>
      <c r="M663" s="9"/>
    </row>
    <row r="664" spans="1:13" s="3" customFormat="1" ht="12.2" customHeight="1" x14ac:dyDescent="0.15">
      <c r="A664" s="198" t="s">
        <v>129</v>
      </c>
      <c r="B664" s="169"/>
      <c r="C664" s="169"/>
      <c r="D664" s="169"/>
      <c r="E664" s="169"/>
      <c r="F664" s="199">
        <f>SUM(F576:F588)+SUM(H603:H605)+SUM(L612)</f>
        <v>329303.18000000005</v>
      </c>
      <c r="G664" s="199">
        <f>SUM(G576:G588)+SUM(I603:I605)+L613</f>
        <v>0</v>
      </c>
      <c r="H664" s="199">
        <f>SUM(H576:H588)+SUM(J603:J605)+L614</f>
        <v>4140100.68</v>
      </c>
      <c r="I664" s="19">
        <f>SUM(F664:H664)</f>
        <v>4469403.8600000003</v>
      </c>
      <c r="J664" s="13"/>
      <c r="K664" s="13"/>
      <c r="L664" s="13"/>
      <c r="M664" s="9"/>
    </row>
    <row r="665" spans="1:13" s="3" customFormat="1" ht="12.2" customHeight="1" x14ac:dyDescent="0.15">
      <c r="A665" s="1" t="s">
        <v>130</v>
      </c>
      <c r="F665" s="19">
        <f>F661-SUM(F662:F664)</f>
        <v>7382390.3599999994</v>
      </c>
      <c r="G665" s="19">
        <f>G661-SUM(G662:G664)</f>
        <v>0</v>
      </c>
      <c r="H665" s="19">
        <f>H661-SUM(H662:H664)</f>
        <v>146015.03000000026</v>
      </c>
      <c r="I665" s="19">
        <f>I661-SUM(I662:I664)</f>
        <v>7528405.3900000006</v>
      </c>
      <c r="J665" s="13"/>
      <c r="K665" s="13"/>
      <c r="L665" s="13"/>
      <c r="M665" s="8"/>
    </row>
    <row r="666" spans="1:13" s="3" customFormat="1" ht="12.2" customHeight="1" x14ac:dyDescent="0.25">
      <c r="A666" s="1" t="s">
        <v>131</v>
      </c>
      <c r="F666" s="361">
        <v>476.59</v>
      </c>
      <c r="G666" s="361">
        <v>0</v>
      </c>
      <c r="H666" s="361">
        <v>0</v>
      </c>
      <c r="I666" s="19">
        <f>SUM(F666:H666)</f>
        <v>476.59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15490.02</v>
      </c>
      <c r="G668" s="19" t="e">
        <f>ROUND(G665/G666,2)</f>
        <v>#DIV/0!</v>
      </c>
      <c r="H668" s="19" t="e">
        <f>ROUND(H665/H666,2)</f>
        <v>#DIV/0!</v>
      </c>
      <c r="I668" s="19">
        <f>ROUND(I665/I666,2)</f>
        <v>15796.4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-146015.03</v>
      </c>
      <c r="I670" s="19">
        <f>SUM(F670:H670)</f>
        <v>-146015.03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15490.02</v>
      </c>
      <c r="G673" s="19" t="e">
        <f>ROUND((G665+G670)/(G666+G671),2)</f>
        <v>#DIV/0!</v>
      </c>
      <c r="H673" s="19" t="e">
        <f>ROUND((H665+H670)/(H666+H671),2)</f>
        <v>#DIV/0!</v>
      </c>
      <c r="I673" s="19">
        <f>ROUND((I665+I670)/(I666+I671),2)</f>
        <v>15490.02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E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93802.450000000012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199363.76</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10651.64+79695.49-15806.76+3455.32+199363.76</f>
        <v>277359.45</v>
      </c>
      <c r="F22" s="346"/>
    </row>
    <row r="23" spans="2:8" x14ac:dyDescent="0.25">
      <c r="B23" s="346"/>
      <c r="C23" s="346"/>
      <c r="D23" s="346"/>
      <c r="E23" s="346"/>
      <c r="F23" s="346"/>
    </row>
    <row r="24" spans="2:8" ht="26.25" customHeight="1" x14ac:dyDescent="0.25">
      <c r="B24" s="346"/>
      <c r="C24" s="348" t="s">
        <v>1661</v>
      </c>
      <c r="D24" s="346"/>
      <c r="E24" s="341">
        <f>1756.25+134.33+308.84+1760+1756.25+8590.97+657.19+2775+212.28+619+1050+1800+8978.03+29800</f>
        <v>60198.14</v>
      </c>
      <c r="F24" s="346"/>
    </row>
    <row r="25" spans="2:8" ht="18" x14ac:dyDescent="0.25">
      <c r="B25" s="346"/>
      <c r="C25" s="349"/>
      <c r="D25" s="346"/>
      <c r="E25" s="346"/>
      <c r="F25" s="346"/>
    </row>
    <row r="26" spans="2:8" ht="27.75" customHeight="1" x14ac:dyDescent="0.25">
      <c r="B26" s="346"/>
      <c r="C26" s="348" t="s">
        <v>1662</v>
      </c>
      <c r="D26" s="346"/>
      <c r="E26" s="341">
        <f>1000+76.49+8320+1460.16+3706.63+1982+2601+1500+189.9+6703.7+512.83+8708.94+5475.2+340.24+534.15+1762.25+750+1850+492.38+553.53+299.9+7.11+249.91+48.4+35955.86+29409.83+17111.7+1798.69+11291.4+14199.17+29800</f>
        <v>188691.37000000002</v>
      </c>
      <c r="F26" s="346"/>
    </row>
    <row r="27" spans="2:8" x14ac:dyDescent="0.25">
      <c r="B27" s="346"/>
      <c r="C27" s="348"/>
      <c r="D27" s="346"/>
      <c r="E27" s="346"/>
      <c r="F27" s="346"/>
    </row>
    <row r="28" spans="2:8" ht="15.75" customHeight="1" x14ac:dyDescent="0.25">
      <c r="B28" s="346"/>
      <c r="C28" s="348" t="s">
        <v>1663</v>
      </c>
      <c r="D28" s="346"/>
      <c r="E28" s="342">
        <f>1497+654</f>
        <v>2151</v>
      </c>
      <c r="F28" s="346"/>
    </row>
    <row r="29" spans="2:8" x14ac:dyDescent="0.25">
      <c r="B29" s="346"/>
      <c r="C29" s="346"/>
      <c r="D29" s="346"/>
      <c r="E29" s="346"/>
      <c r="F29" s="346"/>
    </row>
    <row r="30" spans="2:8" ht="16.5" customHeight="1" x14ac:dyDescent="0.25">
      <c r="B30" s="346"/>
      <c r="C30" s="348" t="s">
        <v>1664</v>
      </c>
      <c r="D30" s="346"/>
      <c r="E30" s="360">
        <f>15806.76+1538+231.92+115.96+406.89+16575.31</f>
        <v>34674.839999999997</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4" t="str">
        <f>'DOE25'!A2</f>
        <v>Chester School District</v>
      </c>
      <c r="C5" s="365"/>
      <c r="D5" s="365"/>
      <c r="E5" s="365"/>
      <c r="F5" s="365"/>
    </row>
    <row r="8" spans="1:9" ht="18" x14ac:dyDescent="0.25">
      <c r="A8" s="317" t="s">
        <v>1576</v>
      </c>
      <c r="F8" s="324" t="s">
        <v>1594</v>
      </c>
    </row>
    <row r="9" spans="1:9" ht="15" x14ac:dyDescent="0.2">
      <c r="A9" s="315" t="s">
        <v>1577</v>
      </c>
      <c r="B9" s="318">
        <f>'DOE25'!G97</f>
        <v>3555.15</v>
      </c>
      <c r="F9" s="315" t="s">
        <v>1590</v>
      </c>
    </row>
    <row r="10" spans="1:9" ht="15" x14ac:dyDescent="0.2">
      <c r="A10" s="315" t="s">
        <v>1578</v>
      </c>
      <c r="B10" s="318">
        <f>'DOE25'!G112-'DOE25'!G97</f>
        <v>10623.52</v>
      </c>
      <c r="F10" s="315" t="s">
        <v>1591</v>
      </c>
    </row>
    <row r="11" spans="1:9" ht="15" x14ac:dyDescent="0.2">
      <c r="A11" s="315" t="s">
        <v>1579</v>
      </c>
      <c r="B11" s="318">
        <f>'DOE25'!G140</f>
        <v>2421.52</v>
      </c>
      <c r="F11" s="315" t="s">
        <v>1592</v>
      </c>
    </row>
    <row r="12" spans="1:9" ht="15" x14ac:dyDescent="0.2">
      <c r="A12" s="315" t="s">
        <v>1580</v>
      </c>
      <c r="B12" s="318">
        <f>'DOE25'!G170</f>
        <v>100524.06999999999</v>
      </c>
      <c r="F12" s="315" t="s">
        <v>1593</v>
      </c>
    </row>
    <row r="13" spans="1:9" ht="15" x14ac:dyDescent="0.2">
      <c r="A13" s="315" t="s">
        <v>1581</v>
      </c>
      <c r="B13" s="318">
        <f>'DOE25'!G193-'DOE25'!G180</f>
        <v>0</v>
      </c>
      <c r="F13" s="315" t="s">
        <v>1603</v>
      </c>
    </row>
    <row r="14" spans="1:9" ht="18" x14ac:dyDescent="0.25">
      <c r="A14" s="317" t="s">
        <v>732</v>
      </c>
      <c r="B14" s="319">
        <f>SUM(B9:B13)</f>
        <v>117124.26</v>
      </c>
    </row>
    <row r="16" spans="1:9" ht="18" x14ac:dyDescent="0.25">
      <c r="A16" s="317" t="s">
        <v>786</v>
      </c>
      <c r="F16" s="324" t="s">
        <v>1595</v>
      </c>
    </row>
    <row r="17" spans="1:6" ht="15" x14ac:dyDescent="0.2">
      <c r="A17" s="315" t="s">
        <v>1582</v>
      </c>
      <c r="B17" s="318">
        <f>'DOE25'!L363-'DOE25'!L362</f>
        <v>135334.60000000003</v>
      </c>
      <c r="F17" s="315" t="s">
        <v>1596</v>
      </c>
    </row>
    <row r="18" spans="1:6" ht="15" x14ac:dyDescent="0.2">
      <c r="A18" s="315" t="s">
        <v>1583</v>
      </c>
      <c r="B18" s="328"/>
      <c r="F18" s="324" t="s">
        <v>1620</v>
      </c>
    </row>
    <row r="19" spans="1:6" ht="18" x14ac:dyDescent="0.25">
      <c r="A19" s="317" t="s">
        <v>725</v>
      </c>
      <c r="B19" s="319">
        <f>SUM(B17:B18)</f>
        <v>135334.60000000003</v>
      </c>
    </row>
    <row r="21" spans="1:6" ht="18.75" thickBot="1" x14ac:dyDescent="0.3">
      <c r="A21" s="317" t="s">
        <v>1584</v>
      </c>
    </row>
    <row r="22" spans="1:6" ht="18.75" thickTop="1" x14ac:dyDescent="0.25">
      <c r="A22" s="317" t="s">
        <v>1585</v>
      </c>
      <c r="B22" s="323">
        <f>B14-B19</f>
        <v>-18210.34000000004</v>
      </c>
      <c r="F22" s="315" t="s">
        <v>1597</v>
      </c>
    </row>
    <row r="26" spans="1:6" ht="18" x14ac:dyDescent="0.25">
      <c r="A26" s="317" t="s">
        <v>186</v>
      </c>
    </row>
    <row r="27" spans="1:6" ht="15" x14ac:dyDescent="0.2">
      <c r="A27" s="315" t="s">
        <v>1586</v>
      </c>
      <c r="B27" s="318">
        <f>'DOE25'!G180</f>
        <v>16657.810000000001</v>
      </c>
      <c r="F27" s="315" t="s">
        <v>1598</v>
      </c>
    </row>
    <row r="28" spans="1:6" ht="15" x14ac:dyDescent="0.2">
      <c r="A28" s="315" t="s">
        <v>1588</v>
      </c>
      <c r="B28" s="318">
        <f>'DOE25'!L362</f>
        <v>0</v>
      </c>
      <c r="F28" s="315" t="s">
        <v>1599</v>
      </c>
    </row>
    <row r="31" spans="1:6" ht="15" x14ac:dyDescent="0.2">
      <c r="A31" s="315" t="s">
        <v>1628</v>
      </c>
      <c r="B31" s="318">
        <f>'DOE25'!G466</f>
        <v>5357.82</v>
      </c>
      <c r="F31" s="315" t="s">
        <v>1600</v>
      </c>
    </row>
    <row r="33" spans="1:6" ht="15" x14ac:dyDescent="0.2">
      <c r="A33" s="315" t="s">
        <v>1629</v>
      </c>
      <c r="B33" s="318">
        <f>'DOE25'!G477</f>
        <v>3805.2900000000081</v>
      </c>
      <c r="F33" s="315" t="s">
        <v>1601</v>
      </c>
    </row>
    <row r="36" spans="1:6" ht="15" x14ac:dyDescent="0.2">
      <c r="A36" s="315" t="s">
        <v>1587</v>
      </c>
      <c r="B36" s="329">
        <v>5327.09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4" sqref="C4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Chester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2291383.86</v>
      </c>
      <c r="C9" s="229">
        <f>'DOE25'!G198+'DOE25'!G216+'DOE25'!G234+'DOE25'!G277+'DOE25'!G296+'DOE25'!G315</f>
        <v>1053733.83</v>
      </c>
    </row>
    <row r="10" spans="1:3" x14ac:dyDescent="0.2">
      <c r="A10" t="s">
        <v>775</v>
      </c>
      <c r="B10" s="240">
        <f>2155467.13+43049.21+31042.97</f>
        <v>2229559.31</v>
      </c>
      <c r="C10" s="240">
        <f>468080.17-2500+31233.38+3489.8+8032.41+157342.06+3293.27+364512.36-2171.42+1458.85+10507.54+202.57+2892.75</f>
        <v>1046373.7399999999</v>
      </c>
    </row>
    <row r="11" spans="1:3" x14ac:dyDescent="0.2">
      <c r="A11" t="s">
        <v>776</v>
      </c>
      <c r="B11" s="240">
        <v>33440.04</v>
      </c>
      <c r="C11" s="240">
        <f>2500+130.44+2558.23</f>
        <v>5188.67</v>
      </c>
    </row>
    <row r="12" spans="1:3" x14ac:dyDescent="0.2">
      <c r="A12" t="s">
        <v>777</v>
      </c>
      <c r="B12" s="240">
        <f>28259.51+125</f>
        <v>28384.51</v>
      </c>
      <c r="C12" s="240">
        <v>2171.42</v>
      </c>
    </row>
    <row r="13" spans="1:3" x14ac:dyDescent="0.2">
      <c r="A13" t="str">
        <f>IF(B9=B13,IF(C9=C13,"Check Total OK","Check Total Error"),"Check Total Error")</f>
        <v>Check Total OK</v>
      </c>
      <c r="B13" s="231">
        <f>SUM(B10:B12)</f>
        <v>2291383.86</v>
      </c>
      <c r="C13" s="231">
        <f>SUM(C10:C12)</f>
        <v>1053733.8299999998</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770793.54</v>
      </c>
      <c r="C18" s="229">
        <f>'DOE25'!G199+'DOE25'!G217+'DOE25'!G235+'DOE25'!G278+'DOE25'!G297+'DOE25'!G316</f>
        <v>237844.9</v>
      </c>
    </row>
    <row r="19" spans="1:3" x14ac:dyDescent="0.2">
      <c r="A19" t="s">
        <v>775</v>
      </c>
      <c r="B19" s="240">
        <f>381985.5+7638.46</f>
        <v>389623.96</v>
      </c>
      <c r="C19" s="240">
        <f>94635.3+4335.9+625.68+2622.27+54234.88+584.34+68167.56+986.26+3370.03+33.16-21062.5-24117.04</f>
        <v>184415.84</v>
      </c>
    </row>
    <row r="20" spans="1:3" x14ac:dyDescent="0.2">
      <c r="A20" t="s">
        <v>776</v>
      </c>
      <c r="B20" s="240">
        <f>59908.81+315255.49</f>
        <v>375164.3</v>
      </c>
      <c r="C20" s="240">
        <f>5657.09+1650+21062.5+24117.04</f>
        <v>52486.630000000005</v>
      </c>
    </row>
    <row r="21" spans="1:3" x14ac:dyDescent="0.2">
      <c r="A21" t="s">
        <v>777</v>
      </c>
      <c r="B21" s="240">
        <v>6005.28</v>
      </c>
      <c r="C21" s="240">
        <f>392.62+549.81</f>
        <v>942.43</v>
      </c>
    </row>
    <row r="22" spans="1:3" x14ac:dyDescent="0.2">
      <c r="A22" t="str">
        <f>IF(B18=B22,IF(C18=C22,"Check Total OK","Check Total Error"),"Check Total Error")</f>
        <v>Check Total OK</v>
      </c>
      <c r="B22" s="231">
        <f>SUM(B19:B21)</f>
        <v>770793.54</v>
      </c>
      <c r="C22" s="231">
        <f>SUM(C19:C21)</f>
        <v>237844.9</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18230.82</v>
      </c>
      <c r="C36" s="235">
        <f>'DOE25'!G201+'DOE25'!G219+'DOE25'!G237+'DOE25'!G280+'DOE25'!G299+'DOE25'!G318</f>
        <v>4583.6000000000004</v>
      </c>
    </row>
    <row r="37" spans="1:3" x14ac:dyDescent="0.2">
      <c r="A37" t="s">
        <v>775</v>
      </c>
      <c r="B37" s="240">
        <f>4197.5+14033.32</f>
        <v>18230.82</v>
      </c>
      <c r="C37" s="240">
        <f>1334.39+2990.42+258.79</f>
        <v>4583.6000000000004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18230.82</v>
      </c>
      <c r="C40" s="231">
        <f>SUM(C37:C39)</f>
        <v>4583.6000000000004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Chester School District</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8660831.7899999991</v>
      </c>
      <c r="D5" s="20">
        <f>SUM('DOE25'!L198:L201)+SUM('DOE25'!L216:L219)+SUM('DOE25'!L234:L237)-F5-G5-H5</f>
        <v>8647802.0999999996</v>
      </c>
      <c r="E5" s="243"/>
      <c r="F5" s="244"/>
      <c r="G5" s="53">
        <f>SUM('DOE25'!J198:J201)+SUM('DOE25'!J216:J219)+SUM('DOE25'!J234:J237)</f>
        <v>12140.69</v>
      </c>
      <c r="H5" s="53">
        <f>SUM('DOE25'!K198:K201)+SUM('DOE25'!K216:K219)+SUM('DOE25'!K234:K237)</f>
        <v>889</v>
      </c>
      <c r="I5" s="254"/>
    </row>
    <row r="6" spans="1:9" x14ac:dyDescent="0.2">
      <c r="A6" s="32">
        <v>2100</v>
      </c>
      <c r="B6" t="s">
        <v>796</v>
      </c>
      <c r="C6" s="273">
        <f t="shared" si="0"/>
        <v>615758.34000000008</v>
      </c>
      <c r="D6" s="20">
        <f>'DOE25'!L203+'DOE25'!L221+'DOE25'!L239-F6-G6-H6</f>
        <v>611326.42000000004</v>
      </c>
      <c r="E6" s="243"/>
      <c r="F6" s="244"/>
      <c r="G6" s="53">
        <f>'DOE25'!J203+'DOE25'!J221+'DOE25'!J239</f>
        <v>4431.92</v>
      </c>
      <c r="H6" s="53">
        <f>'DOE25'!K203+'DOE25'!K221+'DOE25'!K239</f>
        <v>0</v>
      </c>
      <c r="I6" s="254"/>
    </row>
    <row r="7" spans="1:9" x14ac:dyDescent="0.2">
      <c r="A7" s="32">
        <v>2200</v>
      </c>
      <c r="B7" t="s">
        <v>821</v>
      </c>
      <c r="C7" s="273">
        <f t="shared" si="0"/>
        <v>424541.41</v>
      </c>
      <c r="D7" s="20">
        <f>'DOE25'!L204+'DOE25'!L222+'DOE25'!L240-F7-G7-H7</f>
        <v>310821.95999999996</v>
      </c>
      <c r="E7" s="243"/>
      <c r="F7" s="244">
        <v>14048.02</v>
      </c>
      <c r="G7" s="53">
        <f>'DOE25'!J204+'DOE25'!J222+'DOE25'!J240</f>
        <v>99331.43</v>
      </c>
      <c r="H7" s="53">
        <f>'DOE25'!K204+'DOE25'!K222+'DOE25'!K240</f>
        <v>340</v>
      </c>
      <c r="I7" s="254"/>
    </row>
    <row r="8" spans="1:9" x14ac:dyDescent="0.2">
      <c r="A8" s="32">
        <v>2300</v>
      </c>
      <c r="B8" t="s">
        <v>797</v>
      </c>
      <c r="C8" s="273">
        <f t="shared" si="0"/>
        <v>341912.4</v>
      </c>
      <c r="D8" s="243"/>
      <c r="E8" s="20">
        <f>'DOE25'!L205+'DOE25'!L223+'DOE25'!L241-F8-G8-H8-D9-D11</f>
        <v>329117.66000000003</v>
      </c>
      <c r="F8" s="244"/>
      <c r="G8" s="53">
        <f>'DOE25'!J205+'DOE25'!J223+'DOE25'!J241</f>
        <v>0</v>
      </c>
      <c r="H8" s="53">
        <f>'DOE25'!K205+'DOE25'!K223+'DOE25'!K241</f>
        <v>12794.74</v>
      </c>
      <c r="I8" s="254"/>
    </row>
    <row r="9" spans="1:9" ht="14.25" x14ac:dyDescent="0.2">
      <c r="A9" s="32">
        <v>2310</v>
      </c>
      <c r="B9" s="185" t="s">
        <v>888</v>
      </c>
      <c r="C9" s="273">
        <f t="shared" si="0"/>
        <v>57736.98</v>
      </c>
      <c r="D9" s="244">
        <v>57736.98</v>
      </c>
      <c r="E9" s="243"/>
      <c r="F9" s="251"/>
      <c r="G9" s="251"/>
      <c r="H9" s="251"/>
      <c r="I9" s="254"/>
    </row>
    <row r="10" spans="1:9" ht="14.25" x14ac:dyDescent="0.2">
      <c r="A10" s="32">
        <v>2317</v>
      </c>
      <c r="B10" s="185" t="s">
        <v>889</v>
      </c>
      <c r="C10" s="273">
        <f t="shared" si="0"/>
        <v>10035</v>
      </c>
      <c r="D10" s="243"/>
      <c r="E10" s="244">
        <v>10035</v>
      </c>
      <c r="F10" s="251"/>
      <c r="G10" s="251"/>
      <c r="H10" s="251"/>
      <c r="I10" s="254"/>
    </row>
    <row r="11" spans="1:9" ht="14.25" x14ac:dyDescent="0.2">
      <c r="A11" s="32">
        <v>2321</v>
      </c>
      <c r="B11" s="185" t="s">
        <v>890</v>
      </c>
      <c r="C11" s="273">
        <f t="shared" si="0"/>
        <v>121313.38</v>
      </c>
      <c r="D11" s="359">
        <f>112259.27+1612.65+6895.65+12.35+23.1+510.36</f>
        <v>121313.38</v>
      </c>
      <c r="E11" s="243"/>
      <c r="F11" s="251"/>
      <c r="G11" s="251"/>
      <c r="H11" s="251"/>
      <c r="I11" s="254"/>
    </row>
    <row r="12" spans="1:9" x14ac:dyDescent="0.2">
      <c r="A12" s="32">
        <v>2400</v>
      </c>
      <c r="B12" t="s">
        <v>711</v>
      </c>
      <c r="C12" s="273">
        <f t="shared" si="0"/>
        <v>546688.94999999995</v>
      </c>
      <c r="D12" s="20">
        <f>'DOE25'!L206+'DOE25'!L224+'DOE25'!L242-F12-G12-H12</f>
        <v>536588.57999999996</v>
      </c>
      <c r="E12" s="243"/>
      <c r="F12" s="244"/>
      <c r="G12" s="53">
        <f>'DOE25'!J206+'DOE25'!J224+'DOE25'!J242</f>
        <v>7884</v>
      </c>
      <c r="H12" s="53">
        <f>'DOE25'!K206+'DOE25'!K224+'DOE25'!K242</f>
        <v>2216.37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640272.29999999993</v>
      </c>
      <c r="D14" s="20">
        <f>'DOE25'!L208+'DOE25'!L226+'DOE25'!L244-F14-G14-H14</f>
        <v>545131.29999999993</v>
      </c>
      <c r="E14" s="243"/>
      <c r="F14" s="244">
        <v>22206</v>
      </c>
      <c r="G14" s="53">
        <f>'DOE25'!J208+'DOE25'!J226+'DOE25'!J244</f>
        <v>72935</v>
      </c>
      <c r="H14" s="53">
        <f>'DOE25'!K208+'DOE25'!K226+'DOE25'!K244</f>
        <v>0</v>
      </c>
      <c r="I14" s="254"/>
    </row>
    <row r="15" spans="1:9" x14ac:dyDescent="0.2">
      <c r="A15" s="32">
        <v>2700</v>
      </c>
      <c r="B15" t="s">
        <v>799</v>
      </c>
      <c r="C15" s="273">
        <f t="shared" si="0"/>
        <v>667796.73</v>
      </c>
      <c r="D15" s="20">
        <f>'DOE25'!L209+'DOE25'!L227+'DOE25'!L245-F15-G15-H15</f>
        <v>50000</v>
      </c>
      <c r="E15" s="243"/>
      <c r="F15" s="244">
        <v>617796.73</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92478.530000000028</v>
      </c>
      <c r="D29" s="281">
        <f>'DOE25'!L359+'DOE25'!L360+'DOE25'!L361-'DOE25'!I368-F29-G29-H29</f>
        <v>91598.520000000033</v>
      </c>
      <c r="E29" s="243"/>
      <c r="F29" s="244">
        <v>0</v>
      </c>
      <c r="G29" s="53">
        <f>'DOE25'!J359+'DOE25'!J360+'DOE25'!J361</f>
        <v>0</v>
      </c>
      <c r="H29" s="53">
        <f>'DOE25'!K359+'DOE25'!K360+'DOE25'!K361</f>
        <v>880.01</v>
      </c>
      <c r="I29" s="254"/>
    </row>
    <row r="30" spans="1:9" x14ac:dyDescent="0.2">
      <c r="A30" s="32"/>
      <c r="C30" s="274"/>
      <c r="D30" s="20"/>
      <c r="E30" s="278"/>
      <c r="F30" s="268"/>
      <c r="G30" s="53"/>
      <c r="H30" s="53"/>
      <c r="I30" s="254"/>
    </row>
    <row r="31" spans="1:9" x14ac:dyDescent="0.2">
      <c r="A31" s="32" t="s">
        <v>818</v>
      </c>
      <c r="B31" t="s">
        <v>817</v>
      </c>
      <c r="C31" s="273">
        <f>SUM(D31:I31)</f>
        <v>474289.99</v>
      </c>
      <c r="D31" s="20">
        <f>'DOE25'!L291+'DOE25'!L310+'DOE25'!L329+'DOE25'!L334+'DOE25'!L335+'DOE25'!L336-F31-G31-H31</f>
        <v>440737.92</v>
      </c>
      <c r="E31" s="243"/>
      <c r="F31" s="244">
        <v>0</v>
      </c>
      <c r="G31" s="53">
        <f>'DOE25'!J291+'DOE25'!J310+'DOE25'!J329+'DOE25'!J334+'DOE25'!J335+'DOE25'!J336</f>
        <v>33552.07</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11413057.160000002</v>
      </c>
      <c r="E33" s="245">
        <f t="shared" si="1"/>
        <v>339152.66000000003</v>
      </c>
      <c r="F33" s="245">
        <f t="shared" si="1"/>
        <v>654050.75</v>
      </c>
      <c r="G33" s="245">
        <f t="shared" si="1"/>
        <v>230275.11</v>
      </c>
      <c r="H33" s="245">
        <f t="shared" si="1"/>
        <v>17120.12</v>
      </c>
      <c r="I33" s="245">
        <f t="shared" si="1"/>
        <v>0</v>
      </c>
    </row>
    <row r="35" spans="1:9" ht="12" thickBot="1" x14ac:dyDescent="0.25">
      <c r="B35" s="249" t="s">
        <v>831</v>
      </c>
      <c r="D35" s="250">
        <f>E33</f>
        <v>339152.66000000003</v>
      </c>
      <c r="E35" s="246"/>
      <c r="F35" s="333" t="s">
        <v>1632</v>
      </c>
      <c r="G35" s="334"/>
      <c r="H35" s="334"/>
      <c r="I35" s="334"/>
    </row>
    <row r="36" spans="1:9" ht="12" thickTop="1" x14ac:dyDescent="0.2">
      <c r="B36" t="s">
        <v>810</v>
      </c>
      <c r="D36" s="20">
        <f>D33</f>
        <v>11413057.160000002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5" sqref="I3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Chester School District</v>
      </c>
      <c r="B2" s="126">
        <f>'DOE25'!B2</f>
        <v>93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8065978.8700000001</v>
      </c>
      <c r="G4" s="300">
        <f>'DOE25'!L212+'DOE25'!L291</f>
        <v>8065978.8700000001</v>
      </c>
      <c r="H4" s="353">
        <f>F4-G4</f>
        <v>0</v>
      </c>
      <c r="I4" s="373" t="str">
        <f>IF(H4=0,"","ISSUES!! Please review page 7 and 11 totals in comparison with total on this page")</f>
        <v/>
      </c>
      <c r="N4"/>
    </row>
    <row r="5" spans="1:18" x14ac:dyDescent="0.2">
      <c r="A5" s="21" t="s">
        <v>959</v>
      </c>
      <c r="B5" s="301">
        <f>IFERROR(VLOOKUP(A5,'School Tables'!$C$3:$D$365,2,FALSE),"")</f>
        <v>20500</v>
      </c>
      <c r="C5" s="294" t="str">
        <f>IFERROR(INDEX('School Tables'!$B$3:$B$365,MATCH('School Level Expenditures'!B5,'School Tables'!$D$3:$D$365,0)),"")</f>
        <v>Chester</v>
      </c>
      <c r="D5" s="291">
        <v>7651288.8799999999</v>
      </c>
      <c r="E5" s="291">
        <v>414689.99</v>
      </c>
      <c r="F5" s="304">
        <f>D5+E5</f>
        <v>8065978.8700000001</v>
      </c>
      <c r="G5" s="294"/>
      <c r="H5" s="294"/>
      <c r="I5" s="374"/>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7651288.8799999999</v>
      </c>
      <c r="E21" s="351">
        <f>SUM(E5:E20)</f>
        <v>414689.99</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3"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4485163.4000000004</v>
      </c>
      <c r="G36" s="300">
        <f>'DOE25'!L248+'DOE25'!L329</f>
        <v>4485163.4000000004</v>
      </c>
      <c r="H36" s="353">
        <f>F36-G36</f>
        <v>0</v>
      </c>
      <c r="I36" s="373"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4425563.4000000004</v>
      </c>
      <c r="E37" s="291">
        <v>59600</v>
      </c>
      <c r="F37" s="304">
        <f t="shared" ref="F37:F42" si="2">D37+E37</f>
        <v>4485163.4000000004</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4425563.4000000004</v>
      </c>
      <c r="E43" s="352">
        <f>SUM(E37:E42)</f>
        <v>59600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114" activePane="bottomLeft" state="frozen"/>
      <selection activeCell="F46" sqref="F46"/>
      <selection pane="bottomLeft"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1010579.48</v>
      </c>
      <c r="D8" s="95">
        <f>'DOE25'!G9</f>
        <v>100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38036.44</v>
      </c>
      <c r="D11" s="95">
        <f>'DOE25'!G12</f>
        <v>0</v>
      </c>
      <c r="E11" s="95">
        <f>'DOE25'!H12</f>
        <v>0</v>
      </c>
      <c r="F11" s="95">
        <f>'DOE25'!I12</f>
        <v>0</v>
      </c>
      <c r="G11" s="95">
        <f>'DOE25'!J12</f>
        <v>411138.2</v>
      </c>
      <c r="H11" s="124"/>
      <c r="I11" s="124"/>
    </row>
    <row r="12" spans="1:9" x14ac:dyDescent="0.2">
      <c r="A12" s="1" t="s">
        <v>143</v>
      </c>
      <c r="B12" s="6">
        <v>140</v>
      </c>
      <c r="C12" s="95">
        <f>'DOE25'!F13</f>
        <v>43481.34</v>
      </c>
      <c r="D12" s="95">
        <f>'DOE25'!G13</f>
        <v>16528.96</v>
      </c>
      <c r="E12" s="95">
        <f>'DOE25'!H13</f>
        <v>33873.03</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3105.29</v>
      </c>
      <c r="E15" s="95">
        <f>'DOE25'!H16</f>
        <v>0</v>
      </c>
      <c r="F15" s="95">
        <f>'DOE25'!I16</f>
        <v>0</v>
      </c>
      <c r="G15" s="24" t="s">
        <v>288</v>
      </c>
      <c r="H15" s="124"/>
      <c r="I15" s="124"/>
    </row>
    <row r="16" spans="1:9" x14ac:dyDescent="0.2">
      <c r="A16" s="1" t="s">
        <v>147</v>
      </c>
      <c r="B16" s="6">
        <v>180</v>
      </c>
      <c r="C16" s="95">
        <f>'DOE25'!F17</f>
        <v>0</v>
      </c>
      <c r="D16" s="95">
        <f>'DOE25'!G17</f>
        <v>700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1092097.26</v>
      </c>
      <c r="D18" s="41">
        <f>SUM(D8:D17)</f>
        <v>20434.25</v>
      </c>
      <c r="E18" s="41">
        <f>SUM(E8:E17)</f>
        <v>33873.03</v>
      </c>
      <c r="F18" s="41">
        <f>SUM(F8:F17)</f>
        <v>0</v>
      </c>
      <c r="G18" s="41">
        <f>SUM(G8:G17)</f>
        <v>411138.2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4163.41</v>
      </c>
      <c r="E21" s="95">
        <f>'DOE25'!H22</f>
        <v>33873.03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183721.06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19551.88</v>
      </c>
      <c r="D27" s="95">
        <f>'DOE25'!G28</f>
        <v>0</v>
      </c>
      <c r="E27" s="95">
        <f>'DOE25'!H28</f>
        <v>0</v>
      </c>
      <c r="F27" s="95">
        <f>'DOE25'!I28</f>
        <v>0</v>
      </c>
      <c r="G27" s="24" t="s">
        <v>288</v>
      </c>
      <c r="H27" s="124"/>
      <c r="I27" s="124"/>
    </row>
    <row r="28" spans="1:9" x14ac:dyDescent="0.2">
      <c r="A28" s="1" t="s">
        <v>157</v>
      </c>
      <c r="B28" s="6">
        <v>470</v>
      </c>
      <c r="C28" s="95">
        <f>'DOE25'!F29</f>
        <v>-0.01</v>
      </c>
      <c r="D28" s="95">
        <f>'DOE25'!G29</f>
        <v>0</v>
      </c>
      <c r="E28" s="95">
        <f>'DOE25'!H29</f>
        <v>0</v>
      </c>
      <c r="F28" s="95">
        <f>'DOE25'!I29</f>
        <v>0</v>
      </c>
      <c r="G28" s="24" t="s">
        <v>288</v>
      </c>
      <c r="H28" s="124"/>
      <c r="I28" s="124"/>
    </row>
    <row r="29" spans="1:9" x14ac:dyDescent="0.2">
      <c r="A29" s="1" t="s">
        <v>158</v>
      </c>
      <c r="B29" s="6">
        <v>480</v>
      </c>
      <c r="C29" s="95">
        <f>'DOE25'!F30</f>
        <v>2700</v>
      </c>
      <c r="D29" s="95">
        <f>'DOE25'!G30</f>
        <v>12465.55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205972.93</v>
      </c>
      <c r="D31" s="41">
        <f>SUM(D21:D30)</f>
        <v>16628.96</v>
      </c>
      <c r="E31" s="41">
        <f>SUM(E21:E30)</f>
        <v>33873.03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3105.29</v>
      </c>
      <c r="E34" s="95">
        <f>'DOE25'!H35</f>
        <v>0</v>
      </c>
      <c r="F34" s="95">
        <f>'DOE25'!I35</f>
        <v>0</v>
      </c>
      <c r="G34" s="24" t="s">
        <v>288</v>
      </c>
      <c r="H34" s="124"/>
      <c r="I34" s="124"/>
    </row>
    <row r="35" spans="1:9" x14ac:dyDescent="0.2">
      <c r="A35" s="1" t="s">
        <v>850</v>
      </c>
      <c r="B35" s="6">
        <v>752</v>
      </c>
      <c r="C35" s="95">
        <f>'DOE25'!F36</f>
        <v>0</v>
      </c>
      <c r="D35" s="95">
        <f>'DOE25'!G36</f>
        <v>700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6080.24</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225995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214.09</v>
      </c>
      <c r="D47" s="95">
        <f>'DOE25'!G48</f>
        <v>0</v>
      </c>
      <c r="E47" s="95">
        <f>'DOE25'!H48</f>
        <v>0</v>
      </c>
      <c r="F47" s="95">
        <f>'DOE25'!I48</f>
        <v>0</v>
      </c>
      <c r="G47" s="95">
        <f>'DOE25'!J48</f>
        <v>411138.2</v>
      </c>
      <c r="H47" s="124"/>
      <c r="I47" s="124"/>
    </row>
    <row r="48" spans="1:9" x14ac:dyDescent="0.2">
      <c r="A48" s="1" t="s">
        <v>882</v>
      </c>
      <c r="B48" s="6">
        <v>753</v>
      </c>
      <c r="C48" s="95">
        <f>'DOE25'!F49</f>
        <v>146956.76999999999</v>
      </c>
      <c r="D48" s="95">
        <f>'DOE25'!G49</f>
        <v>0</v>
      </c>
      <c r="E48" s="95">
        <f>'DOE25'!H49</f>
        <v>0</v>
      </c>
      <c r="F48" s="95">
        <f>'DOE25'!I49</f>
        <v>0</v>
      </c>
      <c r="G48" s="95">
        <f>'DOE25'!J49</f>
        <v>0</v>
      </c>
      <c r="H48" s="124"/>
      <c r="I48" s="124"/>
    </row>
    <row r="49" spans="1:9" ht="12" thickBot="1" x14ac:dyDescent="0.25">
      <c r="A49" s="29" t="s">
        <v>883</v>
      </c>
      <c r="B49" s="71">
        <v>770</v>
      </c>
      <c r="C49" s="95">
        <f>'DOE25'!F50</f>
        <v>486878.23000000004</v>
      </c>
      <c r="D49" s="24" t="s">
        <v>288</v>
      </c>
      <c r="E49" s="24" t="s">
        <v>288</v>
      </c>
      <c r="F49" s="24" t="s">
        <v>288</v>
      </c>
      <c r="G49" s="24" t="s">
        <v>288</v>
      </c>
      <c r="H49" s="124"/>
      <c r="I49" s="124"/>
    </row>
    <row r="50" spans="1:9" ht="12.75" thickTop="1" thickBot="1" x14ac:dyDescent="0.25">
      <c r="A50" s="38" t="s">
        <v>884</v>
      </c>
      <c r="B50" s="48"/>
      <c r="C50" s="41">
        <f>SUM(C34:C49)</f>
        <v>886124.33000000007</v>
      </c>
      <c r="D50" s="41">
        <f>SUM(D34:D49)</f>
        <v>3805.29</v>
      </c>
      <c r="E50" s="41">
        <f>SUM(E34:E49)</f>
        <v>0</v>
      </c>
      <c r="F50" s="41">
        <f>SUM(F34:F49)</f>
        <v>0</v>
      </c>
      <c r="G50" s="41">
        <f>SUM(G34:G49)</f>
        <v>411138.2</v>
      </c>
      <c r="H50" s="124"/>
      <c r="I50" s="124"/>
    </row>
    <row r="51" spans="1:9" ht="12" thickTop="1" x14ac:dyDescent="0.2">
      <c r="A51" s="38" t="s">
        <v>885</v>
      </c>
      <c r="B51" s="2"/>
      <c r="C51" s="41">
        <f>C50+C31</f>
        <v>1092097.26</v>
      </c>
      <c r="D51" s="41">
        <f>D50+D31</f>
        <v>20434.25</v>
      </c>
      <c r="E51" s="41">
        <f>E50+E31</f>
        <v>33873.03</v>
      </c>
      <c r="F51" s="41">
        <f>F50+F31</f>
        <v>0</v>
      </c>
      <c r="G51" s="41">
        <f>G50+G31</f>
        <v>411138.2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7764678</v>
      </c>
      <c r="D56" s="95">
        <f>'DOE25'!G60</f>
        <v>0</v>
      </c>
      <c r="E56" s="95">
        <f>'DOE25'!H60</f>
        <v>0</v>
      </c>
      <c r="F56" s="95">
        <f>'DOE25'!I60</f>
        <v>0</v>
      </c>
      <c r="G56" s="95">
        <f>'DOE25'!J60</f>
        <v>0</v>
      </c>
      <c r="H56"/>
      <c r="I56"/>
    </row>
    <row r="57" spans="1:9" x14ac:dyDescent="0.2">
      <c r="A57" s="1" t="s">
        <v>164</v>
      </c>
      <c r="B57" s="6" t="s">
        <v>165</v>
      </c>
      <c r="C57" s="95">
        <f>'DOE25'!F79</f>
        <v>15256.83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713.7</v>
      </c>
      <c r="D59" s="95">
        <f>'DOE25'!G96</f>
        <v>0</v>
      </c>
      <c r="E59" s="95">
        <f>'DOE25'!H96</f>
        <v>0</v>
      </c>
      <c r="F59" s="95">
        <f>'DOE25'!I96</f>
        <v>0</v>
      </c>
      <c r="G59" s="95">
        <f>'DOE25'!J96</f>
        <v>21303.39</v>
      </c>
      <c r="H59"/>
      <c r="I59"/>
    </row>
    <row r="60" spans="1:9" x14ac:dyDescent="0.2">
      <c r="A60" s="1" t="s">
        <v>170</v>
      </c>
      <c r="B60" s="118" t="s">
        <v>171</v>
      </c>
      <c r="C60" s="24" t="s">
        <v>288</v>
      </c>
      <c r="D60" s="95">
        <f>'DOE25'!G97</f>
        <v>3555.15</v>
      </c>
      <c r="E60" s="24" t="s">
        <v>288</v>
      </c>
      <c r="F60" s="24" t="s">
        <v>288</v>
      </c>
      <c r="G60" s="24" t="s">
        <v>288</v>
      </c>
      <c r="H60"/>
      <c r="I60"/>
    </row>
    <row r="61" spans="1:9" ht="12" thickBot="1" x14ac:dyDescent="0.25">
      <c r="A61" s="1" t="s">
        <v>172</v>
      </c>
      <c r="B61" s="118" t="s">
        <v>173</v>
      </c>
      <c r="C61" s="95">
        <f>SUM('DOE25'!F98:F110)</f>
        <v>137800.6</v>
      </c>
      <c r="D61" s="95">
        <f>SUM('DOE25'!G98:G110)</f>
        <v>10623.52</v>
      </c>
      <c r="E61" s="95">
        <f>SUM('DOE25'!H98:H110)</f>
        <v>0</v>
      </c>
      <c r="F61" s="95">
        <f>SUM('DOE25'!I98:I110)</f>
        <v>0</v>
      </c>
      <c r="G61" s="95">
        <f>SUM('DOE25'!J98:J110)</f>
        <v>0</v>
      </c>
      <c r="H61"/>
      <c r="I61"/>
    </row>
    <row r="62" spans="1:9" ht="12.75" thickTop="1" thickBot="1" x14ac:dyDescent="0.25">
      <c r="A62" s="29" t="s">
        <v>174</v>
      </c>
      <c r="B62" s="6"/>
      <c r="C62" s="130">
        <f>SUM(C57:C61)</f>
        <v>153771.13</v>
      </c>
      <c r="D62" s="130">
        <f>SUM(D57:D61)</f>
        <v>14178.67</v>
      </c>
      <c r="E62" s="130">
        <f>SUM(E57:E61)</f>
        <v>0</v>
      </c>
      <c r="F62" s="130">
        <f>SUM(F57:F61)</f>
        <v>0</v>
      </c>
      <c r="G62" s="130">
        <f>SUM(G57:G61)</f>
        <v>21303.39</v>
      </c>
      <c r="H62"/>
      <c r="I62"/>
    </row>
    <row r="63" spans="1:9" ht="12" thickTop="1" x14ac:dyDescent="0.2">
      <c r="A63" s="29" t="s">
        <v>175</v>
      </c>
      <c r="B63" s="6"/>
      <c r="C63" s="22">
        <f>C56+C62</f>
        <v>7918449.1299999999</v>
      </c>
      <c r="D63" s="22">
        <f>D56+D62</f>
        <v>14178.67</v>
      </c>
      <c r="E63" s="22">
        <f>E56+E62</f>
        <v>0</v>
      </c>
      <c r="F63" s="22">
        <f>F56+F62</f>
        <v>0</v>
      </c>
      <c r="G63" s="22">
        <f>G56+G62</f>
        <v>21303.39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2825543.71</v>
      </c>
      <c r="D66" s="24" t="s">
        <v>288</v>
      </c>
      <c r="E66" s="24" t="s">
        <v>288</v>
      </c>
      <c r="F66" s="24" t="s">
        <v>288</v>
      </c>
      <c r="G66" s="24" t="s">
        <v>288</v>
      </c>
      <c r="H66"/>
      <c r="I66"/>
    </row>
    <row r="67" spans="1:9" x14ac:dyDescent="0.2">
      <c r="A67" s="1" t="s">
        <v>770</v>
      </c>
      <c r="B67" s="6">
        <v>3112</v>
      </c>
      <c r="C67" s="95">
        <f>'DOE25'!F118</f>
        <v>1275137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2656.22</v>
      </c>
      <c r="D69" s="95">
        <f>'DOE25'!G120</f>
        <v>0</v>
      </c>
      <c r="E69" s="95">
        <f>'DOE25'!H120</f>
        <v>0</v>
      </c>
      <c r="F69" s="95">
        <f>'DOE25'!I120</f>
        <v>0</v>
      </c>
      <c r="G69" s="95">
        <f>'DOE25'!J120</f>
        <v>0</v>
      </c>
      <c r="H69"/>
      <c r="I69"/>
    </row>
    <row r="70" spans="1:9" ht="12" thickTop="1" x14ac:dyDescent="0.2">
      <c r="A70" s="29" t="s">
        <v>252</v>
      </c>
      <c r="B70" s="2"/>
      <c r="C70" s="139">
        <f>SUM(C66:C69)</f>
        <v>4103336.93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16000.000000000002</v>
      </c>
      <c r="D77" s="95">
        <f>SUM('DOE25'!G131:G135)</f>
        <v>2421.52</v>
      </c>
      <c r="E77" s="95">
        <f>SUM('DOE25'!H131:H135)</f>
        <v>0</v>
      </c>
      <c r="F77" s="95">
        <f>SUM('DOE25'!I131:I135)</f>
        <v>0</v>
      </c>
      <c r="G77" s="95">
        <f>SUM('DOE25'!J131:J135)</f>
        <v>0</v>
      </c>
      <c r="H77"/>
      <c r="I77"/>
    </row>
    <row r="78" spans="1:9" ht="12.75" thickTop="1" thickBot="1" x14ac:dyDescent="0.25">
      <c r="A78" s="29" t="s">
        <v>259</v>
      </c>
      <c r="B78" s="6"/>
      <c r="C78" s="130">
        <f>SUM(C72:C77)</f>
        <v>16000.000000000002</v>
      </c>
      <c r="D78" s="130">
        <f>SUM(D72:D77)</f>
        <v>2421.52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4119336.93</v>
      </c>
      <c r="D81" s="130">
        <f>SUM(D79:D80)+D78+D70</f>
        <v>2421.52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25090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960.89</v>
      </c>
      <c r="D88" s="331">
        <f>SUM('DOE25'!G153:G162)</f>
        <v>100524.06999999999</v>
      </c>
      <c r="E88" s="331">
        <f>SUM('DOE25'!H153:H162)</f>
        <v>449199.99000000005</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960.89</v>
      </c>
      <c r="D91" s="131">
        <f>SUM(D85:D90)</f>
        <v>100524.06999999999</v>
      </c>
      <c r="E91" s="131">
        <f>SUM(E85:E90)</f>
        <v>474289.99000000005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16657.810000000001</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6080.24</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6080.24</v>
      </c>
      <c r="D103" s="86">
        <f>SUM(D93:D102)</f>
        <v>16657.810000000001</v>
      </c>
      <c r="E103" s="86">
        <f>SUM(E93:E102)</f>
        <v>0</v>
      </c>
      <c r="F103" s="86">
        <f>SUM(F93:F102)</f>
        <v>0</v>
      </c>
      <c r="G103" s="86">
        <f>SUM(G93:G102)</f>
        <v>20000</v>
      </c>
    </row>
    <row r="104" spans="1:7" ht="12.75" thickTop="1" thickBot="1" x14ac:dyDescent="0.25">
      <c r="A104" s="33" t="s">
        <v>761</v>
      </c>
      <c r="C104" s="86">
        <f>C63+C81+C91+C103</f>
        <v>12044827.190000001</v>
      </c>
      <c r="D104" s="86">
        <f>D63+D81+D91+D103</f>
        <v>133782.07</v>
      </c>
      <c r="E104" s="86">
        <f>E63+E81+E91+E103</f>
        <v>474289.99000000005</v>
      </c>
      <c r="F104" s="86">
        <f>F63+F81+F91+F103</f>
        <v>0</v>
      </c>
      <c r="G104" s="86">
        <f>G63+G81+G103</f>
        <v>41303.39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6975156.7300000004</v>
      </c>
      <c r="D109" s="24" t="s">
        <v>288</v>
      </c>
      <c r="E109" s="95">
        <f>('DOE25'!L277)+('DOE25'!L296)+('DOE25'!L315)</f>
        <v>122436.7</v>
      </c>
      <c r="F109" s="24" t="s">
        <v>288</v>
      </c>
      <c r="G109" s="24" t="s">
        <v>288</v>
      </c>
    </row>
    <row r="110" spans="1:7" x14ac:dyDescent="0.2">
      <c r="A110" t="s">
        <v>198</v>
      </c>
      <c r="B110" s="32" t="s">
        <v>199</v>
      </c>
      <c r="C110" s="95">
        <f>('DOE25'!L199)+('DOE25'!L217)+('DOE25'!L235)</f>
        <v>1647582.85</v>
      </c>
      <c r="D110" s="24" t="s">
        <v>288</v>
      </c>
      <c r="E110" s="95">
        <f>('DOE25'!L278)+('DOE25'!L297)+('DOE25'!L316)</f>
        <v>90477.759999999995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38092.21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8660831.790000001</v>
      </c>
      <c r="D115" s="86">
        <f>SUM(D109:D114)</f>
        <v>0</v>
      </c>
      <c r="E115" s="86">
        <f>SUM(E109:E114)</f>
        <v>212914.46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615758.34000000008</v>
      </c>
      <c r="D118" s="24" t="s">
        <v>288</v>
      </c>
      <c r="E118" s="95">
        <f>+('DOE25'!L282)+('DOE25'!L301)+('DOE25'!L320)</f>
        <v>61245.19</v>
      </c>
      <c r="F118" s="24" t="s">
        <v>288</v>
      </c>
      <c r="G118" s="24" t="s">
        <v>288</v>
      </c>
    </row>
    <row r="119" spans="1:7" x14ac:dyDescent="0.2">
      <c r="A119" t="s">
        <v>208</v>
      </c>
      <c r="B119" s="32" t="s">
        <v>209</v>
      </c>
      <c r="C119" s="95">
        <f>('DOE25'!L204)+('DOE25'!L222)+('DOE25'!L240)</f>
        <v>424541.41</v>
      </c>
      <c r="D119" s="24" t="s">
        <v>288</v>
      </c>
      <c r="E119" s="95">
        <f>+('DOE25'!L283)+('DOE25'!L302)+('DOE25'!L321)</f>
        <v>71598.670000000013</v>
      </c>
      <c r="F119" s="24" t="s">
        <v>288</v>
      </c>
      <c r="G119" s="24" t="s">
        <v>288</v>
      </c>
    </row>
    <row r="120" spans="1:7" x14ac:dyDescent="0.2">
      <c r="A120" t="s">
        <v>210</v>
      </c>
      <c r="B120" s="32" t="s">
        <v>211</v>
      </c>
      <c r="C120" s="95">
        <f>('DOE25'!L205)+('DOE25'!L223)+('DOE25'!L241)</f>
        <v>520962.76</v>
      </c>
      <c r="D120" s="24" t="s">
        <v>288</v>
      </c>
      <c r="E120" s="95">
        <f>+('DOE25'!L284)+('DOE25'!L303)+('DOE25'!L322)</f>
        <v>7216.53</v>
      </c>
      <c r="F120" s="24" t="s">
        <v>288</v>
      </c>
      <c r="G120" s="24" t="s">
        <v>288</v>
      </c>
    </row>
    <row r="121" spans="1:7" x14ac:dyDescent="0.2">
      <c r="A121" t="s">
        <v>212</v>
      </c>
      <c r="B121" s="32" t="s">
        <v>213</v>
      </c>
      <c r="C121" s="95">
        <f>('DOE25'!L206)+('DOE25'!L224)+('DOE25'!L242)</f>
        <v>546688.94999999995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640272.29999999993</v>
      </c>
      <c r="D123" s="24" t="s">
        <v>288</v>
      </c>
      <c r="E123" s="95">
        <f>+('DOE25'!L287)+('DOE25'!L306)+('DOE25'!L325)</f>
        <v>114622.92</v>
      </c>
      <c r="F123" s="24" t="s">
        <v>288</v>
      </c>
      <c r="G123" s="24" t="s">
        <v>288</v>
      </c>
    </row>
    <row r="124" spans="1:7" x14ac:dyDescent="0.2">
      <c r="A124" t="s">
        <v>218</v>
      </c>
      <c r="B124" s="32" t="s">
        <v>219</v>
      </c>
      <c r="C124" s="95">
        <f>('DOE25'!L209)+('DOE25'!L227)+('DOE25'!L245+'DOE25'!L255)</f>
        <v>667796.73</v>
      </c>
      <c r="D124" s="24" t="s">
        <v>288</v>
      </c>
      <c r="E124" s="95">
        <f>+('DOE25'!L288)+('DOE25'!L307)+('DOE25'!L326)</f>
        <v>6692.22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135334.60000000003</v>
      </c>
      <c r="E127" s="24" t="s">
        <v>288</v>
      </c>
      <c r="F127" s="24" t="s">
        <v>288</v>
      </c>
      <c r="G127" s="24" t="s">
        <v>288</v>
      </c>
    </row>
    <row r="128" spans="1:7" ht="12.75" thickTop="1" thickBot="1" x14ac:dyDescent="0.25">
      <c r="A128" s="33" t="s">
        <v>226</v>
      </c>
      <c r="C128" s="86">
        <f>SUM(C118:C127)</f>
        <v>3416020.4899999998</v>
      </c>
      <c r="D128" s="86">
        <f>SUM(D118:D127)</f>
        <v>135334.60000000003</v>
      </c>
      <c r="E128" s="86">
        <f>SUM(E118:E127)</f>
        <v>261375.53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16657.810000000001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41303.39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-21303.39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36657.81</v>
      </c>
      <c r="D144" s="141">
        <f>SUM(D130:D143)</f>
        <v>0</v>
      </c>
      <c r="E144" s="141">
        <f>SUM(E130:E143)</f>
        <v>0</v>
      </c>
      <c r="F144" s="141">
        <f>SUM(F130:F143)</f>
        <v>0</v>
      </c>
      <c r="G144" s="141">
        <f>SUM(G130:G143)</f>
        <v>0</v>
      </c>
    </row>
    <row r="145" spans="1:9" ht="12.75" thickTop="1" thickBot="1" x14ac:dyDescent="0.25">
      <c r="A145" s="33" t="s">
        <v>244</v>
      </c>
      <c r="C145" s="86">
        <f>(C115+C128+C144)</f>
        <v>12113510.090000002</v>
      </c>
      <c r="D145" s="86">
        <f>(D115+D128+D144)</f>
        <v>135334.60000000003</v>
      </c>
      <c r="E145" s="86">
        <f>(E115+E128+E144)</f>
        <v>474289.99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abSelected="1"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Chester School District</v>
      </c>
    </row>
    <row r="3" spans="1:4" x14ac:dyDescent="0.2">
      <c r="B3" s="188" t="s">
        <v>1666</v>
      </c>
    </row>
    <row r="4" spans="1:4" x14ac:dyDescent="0.2">
      <c r="B4" t="s">
        <v>61</v>
      </c>
      <c r="C4" s="179">
        <f>IF('DOE25'!F666+'DOE25'!F671=0,0,ROUND('DOE25'!F673,0))</f>
        <v>15490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15490</v>
      </c>
    </row>
    <row r="9" spans="1:4" x14ac:dyDescent="0.2">
      <c r="A9" s="187" t="s">
        <v>94</v>
      </c>
      <c r="B9" s="188" t="s">
        <v>1671</v>
      </c>
      <c r="C9" s="181" t="s">
        <v>720</v>
      </c>
      <c r="D9" s="181" t="s">
        <v>721</v>
      </c>
    </row>
    <row r="10" spans="1:4" x14ac:dyDescent="0.2">
      <c r="A10">
        <v>1100</v>
      </c>
      <c r="B10" t="s">
        <v>702</v>
      </c>
      <c r="C10" s="179">
        <f>ROUND('DOE25'!L198+'DOE25'!L216+'DOE25'!L234+'DOE25'!L277+'DOE25'!L296+'DOE25'!L315,0)</f>
        <v>7097593</v>
      </c>
      <c r="D10" s="182">
        <f>ROUND((C10/$C$28)*100,1)</f>
        <v>56</v>
      </c>
    </row>
    <row r="11" spans="1:4" x14ac:dyDescent="0.2">
      <c r="A11">
        <v>1200</v>
      </c>
      <c r="B11" t="s">
        <v>703</v>
      </c>
      <c r="C11" s="179">
        <f>ROUND('DOE25'!L199+'DOE25'!L217+'DOE25'!L235+'DOE25'!L278+'DOE25'!L297+'DOE25'!L316,0)</f>
        <v>1738061</v>
      </c>
      <c r="D11" s="182">
        <f>ROUND((C11/$C$28)*100,1)</f>
        <v>13.7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38092</v>
      </c>
      <c r="D13" s="182">
        <f>ROUND((C13/$C$28)*100,1)</f>
        <v>0.3</v>
      </c>
    </row>
    <row r="14" spans="1:4" x14ac:dyDescent="0.2">
      <c r="D14" s="182"/>
    </row>
    <row r="15" spans="1:4" x14ac:dyDescent="0.2">
      <c r="A15">
        <v>2100</v>
      </c>
      <c r="B15" t="s">
        <v>706</v>
      </c>
      <c r="C15" s="179">
        <f>ROUND('DOE25'!L203+'DOE25'!L221+'DOE25'!L239+'DOE25'!L282+'DOE25'!L301+'DOE25'!L320,0)</f>
        <v>677004</v>
      </c>
      <c r="D15" s="182">
        <f t="shared" ref="D15:D27" si="0">ROUND((C15/$C$28)*100,1)</f>
        <v>5.3</v>
      </c>
    </row>
    <row r="16" spans="1:4" x14ac:dyDescent="0.2">
      <c r="A16">
        <v>2200</v>
      </c>
      <c r="B16" t="s">
        <v>707</v>
      </c>
      <c r="C16" s="179">
        <f>ROUND('DOE25'!L204+'DOE25'!L222+'DOE25'!L240+'DOE25'!L283+'DOE25'!L302+'DOE25'!L321,0)</f>
        <v>496140</v>
      </c>
      <c r="D16" s="182">
        <f t="shared" si="0"/>
        <v>3.9</v>
      </c>
    </row>
    <row r="17" spans="1:4" x14ac:dyDescent="0.2">
      <c r="A17" s="183" t="s">
        <v>723</v>
      </c>
      <c r="B17" t="s">
        <v>738</v>
      </c>
      <c r="C17" s="179">
        <f>ROUND('DOE25'!L205+'DOE25'!L210+'DOE25'!L223+'DOE25'!L228+'DOE25'!L241+'DOE25'!L246+'DOE25'!L284+'DOE25'!L289+'DOE25'!L303+'DOE25'!L308+'DOE25'!L322+'DOE25'!L327,0)</f>
        <v>528179</v>
      </c>
      <c r="D17" s="182">
        <f t="shared" si="0"/>
        <v>4.2</v>
      </c>
    </row>
    <row r="18" spans="1:4" x14ac:dyDescent="0.2">
      <c r="A18">
        <v>2400</v>
      </c>
      <c r="B18" t="s">
        <v>711</v>
      </c>
      <c r="C18" s="179">
        <f>ROUND('DOE25'!L206+'DOE25'!L224+'DOE25'!L242+'DOE25'!L285+'DOE25'!L304+'DOE25'!L323,0)</f>
        <v>546689</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754895</v>
      </c>
      <c r="D20" s="182">
        <f t="shared" si="0"/>
        <v>6</v>
      </c>
    </row>
    <row r="21" spans="1:4" x14ac:dyDescent="0.2">
      <c r="A21">
        <v>2700</v>
      </c>
      <c r="B21" t="s">
        <v>710</v>
      </c>
      <c r="C21" s="179">
        <f>ROUND('DOE25'!L209+'DOE25'!L227+'DOE25'!L245+'DOE25'!L288+'DOE25'!L307+'DOE25'!L326,0)</f>
        <v>674489</v>
      </c>
      <c r="D21" s="182">
        <f t="shared" si="0"/>
        <v>5.3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121156.33</v>
      </c>
      <c r="D27" s="182">
        <f t="shared" si="0"/>
        <v>1</v>
      </c>
    </row>
    <row r="28" spans="1:4" x14ac:dyDescent="0.2">
      <c r="B28" s="187" t="s">
        <v>719</v>
      </c>
      <c r="C28" s="180">
        <f>SUM(C10:C27)</f>
        <v>12672298.33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12672298.33</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7764678</v>
      </c>
      <c r="D35" s="182">
        <f t="shared" ref="D35:D40" si="1">ROUND((C35/$C$41)*100,1)</f>
        <v>61.4</v>
      </c>
    </row>
    <row r="36" spans="1:4" x14ac:dyDescent="0.2">
      <c r="B36" s="185" t="s">
        <v>739</v>
      </c>
      <c r="C36" s="179">
        <f>SUM('DOE25'!F112:J112)-SUM('DOE25'!G97:G110)+('DOE25'!F175+'DOE25'!F176+'DOE25'!I175+'DOE25'!I176)-C35</f>
        <v>175074.51999999955</v>
      </c>
      <c r="D36" s="182">
        <f t="shared" si="1"/>
        <v>1.4</v>
      </c>
    </row>
    <row r="37" spans="1:4" x14ac:dyDescent="0.2">
      <c r="A37" s="183" t="s">
        <v>835</v>
      </c>
      <c r="B37" s="185" t="s">
        <v>728</v>
      </c>
      <c r="C37" s="179">
        <f>ROUND('DOE25'!F117+'DOE25'!F118,0)</f>
        <v>4100681</v>
      </c>
      <c r="D37" s="182">
        <f t="shared" si="1"/>
        <v>32.4</v>
      </c>
    </row>
    <row r="38" spans="1:4" x14ac:dyDescent="0.2">
      <c r="A38" s="183" t="s">
        <v>734</v>
      </c>
      <c r="B38" s="185" t="s">
        <v>729</v>
      </c>
      <c r="C38" s="179">
        <f>ROUND(SUM('DOE25'!F140:J140)-SUM('DOE25'!F117:F119),0)</f>
        <v>21078</v>
      </c>
      <c r="D38" s="182">
        <f t="shared" si="1"/>
        <v>0.2</v>
      </c>
    </row>
    <row r="39" spans="1:4" x14ac:dyDescent="0.2">
      <c r="A39">
        <v>4000</v>
      </c>
      <c r="B39" s="185" t="s">
        <v>730</v>
      </c>
      <c r="C39" s="179">
        <f>ROUND('DOE25'!F170+'DOE25'!G170+'DOE25'!H170+'DOE25'!I170,0)</f>
        <v>575775</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12637286.52</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P10" sqref="P10"/>
    </sheetView>
  </sheetViews>
  <sheetFormatPr defaultRowHeight="11.25" x14ac:dyDescent="0.2"/>
  <cols>
    <col min="1" max="1" width="10.33203125" customWidth="1"/>
    <col min="14" max="14" width="6.1640625"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Chester School District</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c r="B4" s="219"/>
      <c r="C4" s="378"/>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c r="B5" s="219"/>
      <c r="C5" s="378"/>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c r="B6" s="219"/>
      <c r="C6" s="378"/>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2021-09-02T22:49:12Z</cp:lastPrinted>
  <dcterms:created xsi:type="dcterms:W3CDTF">1997-12-04T19:04:30Z</dcterms:created>
  <dcterms:modified xsi:type="dcterms:W3CDTF">2021-12-29T14:29:46Z</dcterms:modified>
</cp:coreProperties>
</file>