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473" i="1" l="1"/>
  <c r="F469" i="1"/>
  <c r="F199" i="1" l="1"/>
  <c r="F278" i="1"/>
  <c r="H473" i="1"/>
  <c r="H469" i="1"/>
  <c r="J593" i="1" l="1"/>
  <c r="G460" i="1" l="1"/>
  <c r="J469" i="1"/>
  <c r="F14" i="13" l="1"/>
  <c r="E30" i="17" l="1"/>
  <c r="H208" i="1" l="1"/>
  <c r="H203" i="1"/>
  <c r="I287" i="1" l="1"/>
  <c r="I277" i="1"/>
  <c r="H209" i="1" l="1"/>
  <c r="H48" i="1"/>
  <c r="H161" i="1"/>
  <c r="G110" i="1" l="1"/>
  <c r="H529" i="1" l="1"/>
  <c r="H527" i="1"/>
  <c r="G524" i="1"/>
  <c r="H524" i="1"/>
  <c r="I524" i="1"/>
  <c r="J524" i="1"/>
  <c r="K524" i="1"/>
  <c r="F524" i="1"/>
  <c r="G522" i="1"/>
  <c r="H522" i="1"/>
  <c r="I522" i="1"/>
  <c r="J522" i="1"/>
  <c r="K522" i="1"/>
  <c r="F522" i="1"/>
  <c r="H466" i="1"/>
  <c r="F368" i="1"/>
  <c r="H235" i="1" l="1"/>
  <c r="H199" i="1"/>
  <c r="F9" i="1" l="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C40" i="10"/>
  <c r="F60" i="1"/>
  <c r="G60" i="1"/>
  <c r="H60" i="1"/>
  <c r="E56" i="2" s="1"/>
  <c r="I60" i="1"/>
  <c r="F79" i="1"/>
  <c r="C57" i="2" s="1"/>
  <c r="F94" i="1"/>
  <c r="C58" i="2" s="1"/>
  <c r="F111" i="1"/>
  <c r="G111" i="1"/>
  <c r="H79" i="1"/>
  <c r="H94" i="1"/>
  <c r="H111" i="1"/>
  <c r="I111" i="1"/>
  <c r="I112" i="1" s="1"/>
  <c r="J111" i="1"/>
  <c r="F121" i="1"/>
  <c r="F136" i="1"/>
  <c r="G121" i="1"/>
  <c r="G136" i="1"/>
  <c r="H121" i="1"/>
  <c r="H136" i="1"/>
  <c r="H140" i="1" s="1"/>
  <c r="I121" i="1"/>
  <c r="I136" i="1"/>
  <c r="J121" i="1"/>
  <c r="J136" i="1"/>
  <c r="F147" i="1"/>
  <c r="F170" i="1" s="1"/>
  <c r="G147" i="1"/>
  <c r="H147" i="1"/>
  <c r="H170" i="1" s="1"/>
  <c r="I147" i="1"/>
  <c r="F85" i="2" s="1"/>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D56" i="2"/>
  <c r="F56"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4" i="2"/>
  <c r="C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G655" i="1"/>
  <c r="H655" i="1"/>
  <c r="H656" i="1"/>
  <c r="J656" i="1" s="1"/>
  <c r="G62" i="2"/>
  <c r="I170" i="1"/>
  <c r="G662" i="1" l="1"/>
  <c r="H477" i="1"/>
  <c r="H625" i="1" s="1"/>
  <c r="J625" i="1" s="1"/>
  <c r="G409" i="1"/>
  <c r="H646" i="1" s="1"/>
  <c r="C13" i="10"/>
  <c r="A40" i="12"/>
  <c r="C12" i="10"/>
  <c r="C110" i="2"/>
  <c r="I409" i="1"/>
  <c r="J112" i="1"/>
  <c r="J194" i="1" s="1"/>
  <c r="G647" i="1" s="1"/>
  <c r="E125" i="2"/>
  <c r="E121" i="2"/>
  <c r="H409" i="1"/>
  <c r="H645" i="1" s="1"/>
  <c r="J645" i="1" s="1"/>
  <c r="E120" i="2"/>
  <c r="F409" i="1"/>
  <c r="H644" i="1" s="1"/>
  <c r="J644" i="1" s="1"/>
  <c r="H663" i="1"/>
  <c r="C119" i="2"/>
  <c r="J652" i="1"/>
  <c r="J140" i="1"/>
  <c r="C32" i="10"/>
  <c r="E123" i="2"/>
  <c r="E110" i="2"/>
  <c r="D18" i="13"/>
  <c r="C18" i="13" s="1"/>
  <c r="D15" i="13"/>
  <c r="C15" i="13" s="1"/>
  <c r="C121" i="2"/>
  <c r="C120" i="2"/>
  <c r="D50" i="2"/>
  <c r="G553" i="1"/>
  <c r="J258" i="1"/>
  <c r="J272" i="1" s="1"/>
  <c r="H605" i="1" s="1"/>
  <c r="E119" i="2"/>
  <c r="D6" i="13"/>
  <c r="C6" i="13" s="1"/>
  <c r="E13" i="13"/>
  <c r="C13" i="13" s="1"/>
  <c r="J572" i="1"/>
  <c r="K339" i="1"/>
  <c r="K353" i="1" s="1"/>
  <c r="G339" i="1"/>
  <c r="G353"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H258" i="1"/>
  <c r="H272" i="1" s="1"/>
  <c r="I52" i="1"/>
  <c r="H621" i="1" s="1"/>
  <c r="J621" i="1" s="1"/>
  <c r="D31" i="2"/>
  <c r="D51" i="2" s="1"/>
  <c r="E31" i="2"/>
  <c r="C18" i="2"/>
  <c r="F18" i="2"/>
  <c r="L271" i="1"/>
  <c r="F662" i="1"/>
  <c r="F572" i="1"/>
  <c r="L420" i="1"/>
  <c r="D91" i="2"/>
  <c r="D81" i="2"/>
  <c r="E78" i="2"/>
  <c r="E81" i="2" s="1"/>
  <c r="G546"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G140" i="1"/>
  <c r="B11" i="16" s="1"/>
  <c r="F140" i="1"/>
  <c r="G63" i="2"/>
  <c r="J619" i="1"/>
  <c r="G42" i="2"/>
  <c r="G50" i="2" s="1"/>
  <c r="J51" i="1"/>
  <c r="G16" i="2"/>
  <c r="G18" i="2" s="1"/>
  <c r="J19" i="1"/>
  <c r="G622" i="1" s="1"/>
  <c r="F546" i="1"/>
  <c r="H435" i="1"/>
  <c r="D103" i="2"/>
  <c r="I140" i="1"/>
  <c r="A22" i="12"/>
  <c r="J653" i="1"/>
  <c r="G572" i="1"/>
  <c r="I435" i="1"/>
  <c r="G435" i="1"/>
  <c r="K605" i="1" l="1"/>
  <c r="K606" i="1" s="1"/>
  <c r="G649" i="1" s="1"/>
  <c r="H606" i="1"/>
  <c r="F664" i="1"/>
  <c r="I664" i="1" s="1"/>
  <c r="F661" i="1"/>
  <c r="C141" i="2"/>
  <c r="C144" i="2" s="1"/>
  <c r="I663" i="1"/>
  <c r="E115" i="2"/>
  <c r="E128" i="2"/>
  <c r="H649" i="1"/>
  <c r="J649" i="1" s="1"/>
  <c r="H661" i="1"/>
  <c r="H665" i="1" s="1"/>
  <c r="H668" i="1" s="1"/>
  <c r="H194" i="1"/>
  <c r="G630" i="1" s="1"/>
  <c r="J630" i="1" s="1"/>
  <c r="E51" i="2"/>
  <c r="F194" i="1"/>
  <c r="G628" i="1" s="1"/>
  <c r="J628" i="1" s="1"/>
  <c r="G24" i="14"/>
  <c r="H24" i="14" s="1"/>
  <c r="I24" i="14" s="1"/>
  <c r="C81" i="2"/>
  <c r="L572" i="1"/>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65" i="1" l="1"/>
  <c r="F668" i="1" s="1"/>
  <c r="E145" i="2"/>
  <c r="H673" i="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<sst xmlns="http://schemas.openxmlformats.org/spreadsheetml/2006/main" count="5574" uniqueCount="1674">
  <si>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</si>
  <si>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</si>
  <si>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</si>
  <si>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</si>
  <si>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</si>
  <si>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</si>
  <si>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</si>
  <si>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</si>
  <si>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</si>
  <si>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</si>
  <si>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</si>
  <si>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</si>
  <si>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</si>
  <si>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</si>
  <si>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</si>
  <si>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</si>
  <si>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</si>
  <si>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</si>
  <si>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</si>
  <si>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</si>
  <si>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</si>
  <si>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</si>
  <si>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</si>
  <si>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</si>
  <si>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</si>
  <si>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</si>
  <si>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</si>
  <si>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</si>
  <si>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</si>
  <si>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</si>
  <si>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</si>
  <si>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</si>
  <si>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</si>
  <si>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</si>
  <si>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</si>
  <si>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</si>
  <si>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</si>
  <si>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</si>
  <si>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</si>
  <si>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</si>
  <si>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</si>
  <si>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</si>
  <si>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</si>
  <si>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</si>
  <si>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</si>
  <si>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</si>
  <si>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</si>
  <si>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</si>
  <si>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</si>
  <si>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</si>
  <si>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</si>
  <si>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</si>
  <si>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</si>
  <si>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</si>
  <si>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</si>
  <si>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</si>
  <si>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</si>
  <si>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</si>
  <si>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</si>
  <si>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</si>
  <si>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</si>
  <si>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</si>
  <si>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</si>
  <si>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</si>
  <si>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</si>
  <si>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</si>
  <si>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</si>
  <si>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</si>
  <si>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</si>
  <si>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</si>
  <si>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</si>
  <si>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</si>
  <si>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</si>
  <si>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</si>
  <si>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</si>
  <si>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</si>
  <si>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</si>
  <si>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</si>
  <si>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</si>
  <si>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</si>
  <si>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</si>
  <si>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</si>
  <si>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</si>
  <si>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</si>
  <si>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</si>
  <si>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</si>
  <si>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</si>
  <si>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</si>
  <si>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</si>
  <si>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</si>
  <si>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</si>
  <si>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</si>
  <si>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</si>
  <si>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</si>
  <si>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</si>
  <si>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</si>
  <si>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</si>
  <si>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</si>
  <si>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</si>
  <si>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</si>
  <si>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</si>
  <si>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</si>
  <si>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</si>
  <si>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</si>
  <si>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</si>
  <si>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</si>
  <si>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</si>
  <si>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</si>
  <si>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</si>
  <si>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</si>
  <si>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</si>
  <si>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</si>
  <si>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</si>
  <si>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</si>
  <si>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</si>
  <si>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</si>
  <si>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</si>
  <si>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</si>
  <si>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</si>
  <si>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</si>
  <si>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</si>
  <si>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</si>
  <si>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</si>
  <si>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</si>
  <si>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</si>
  <si>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</si>
  <si>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</si>
  <si>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</si>
  <si>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</si>
  <si>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</si>
  <si>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</si>
  <si>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</si>
  <si>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</si>
  <si>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</si>
  <si>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</si>
  <si>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</si>
  <si>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</si>
  <si>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</si>
  <si>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</si>
  <si>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</si>
  <si>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</si>
  <si>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</si>
  <si>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</si>
  <si>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</si>
  <si>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</si>
  <si>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</si>
  <si>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</si>
  <si>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</si>
  <si>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</si>
  <si>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</si>
  <si>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</si>
  <si>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</si>
  <si>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</si>
  <si>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</si>
  <si>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</si>
  <si>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</si>
  <si>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</si>
  <si>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</si>
  <si>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</si>
  <si>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</si>
  <si>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</si>
  <si>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</si>
  <si>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</si>
  <si>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</si>
  <si>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</si>
  <si>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</si>
  <si>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</si>
  <si>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</si>
  <si>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</si>
  <si>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</si>
  <si>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</si>
  <si>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</si>
  <si>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</si>
  <si>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</si>
  <si>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</si>
  <si>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</si>
  <si>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</si>
  <si>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</si>
  <si>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</si>
  <si>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</si>
  <si>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</si>
  <si>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</si>
  <si>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</si>
  <si>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</si>
  <si>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</si>
  <si>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</si>
  <si>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</si>
  <si>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</si>
  <si>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</si>
  <si>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</si>
  <si>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</si>
  <si>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</si>
  <si>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</si>
  <si>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</si>
  <si>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</si>
  <si>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</si>
  <si>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</si>
  <si>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</si>
  <si>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</si>
  <si>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</si>
  <si>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</si>
  <si>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</si>
  <si>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</si>
  <si>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</si>
  <si>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</si>
  <si>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</si>
  <si>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</si>
  <si>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</si>
  <si>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</si>
  <si>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</si>
  <si>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</si>
  <si>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</si>
  <si>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</si>
  <si>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</si>
  <si>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</si>
  <si>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</si>
  <si>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</si>
  <si>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</si>
  <si>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</si>
  <si>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</si>
  <si>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</si>
  <si>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</si>
  <si>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</si>
  <si>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</si>
  <si>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</si>
  <si>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</si>
  <si>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</si>
  <si>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</si>
  <si>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</si>
  <si>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</si>
  <si>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</si>
  <si>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</si>
  <si>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</si>
  <si>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</si>
  <si>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</si>
  <si>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</si>
  <si>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</si>
  <si>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</si>
  <si>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</si>
  <si>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</si>
  <si>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</si>
  <si>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</si>
  <si>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</si>
  <si>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</si>
  <si>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</si>
  <si>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</si>
  <si>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</si>
  <si>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</si>
  <si>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</si>
  <si>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</si>
  <si>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</si>
  <si>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</si>
  <si>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</si>
  <si>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</si>
  <si>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</si>
  <si>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</si>
  <si>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</si>
  <si>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</si>
  <si>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</si>
  <si>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</si>
  <si>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</si>
  <si>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</si>
  <si>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</si>
  <si>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</si>
  <si>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</si>
  <si>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</si>
  <si>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</si>
  <si>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</si>
  <si>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</si>
  <si>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</si>
  <si>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</si>
  <si>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</si>
  <si>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</si>
  <si>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</si>
  <si>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</si>
  <si>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</si>
  <si>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</si>
  <si>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</si>
  <si>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</si>
  <si>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</si>
  <si>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</si>
  <si>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</si>
  <si>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</si>
  <si>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</si>
  <si>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</si>
  <si>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</si>
  <si>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</si>
  <si>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</si>
  <si>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</si>
  <si>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</si>
  <si>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</si>
  <si>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</si>
  <si>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</si>
  <si>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</si>
  <si>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</si>
  <si>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</si>
  <si>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</si>
  <si>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</si>
  <si>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</si>
  <si>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</si>
  <si>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</si>
  <si>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</si>
  <si>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</si>
  <si>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</si>
  <si>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</si>
  <si>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</si>
  <si>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</si>
  <si>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</si>
  <si>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</si>
  <si>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</si>
  <si>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</si>
  <si>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</si>
  <si>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</si>
  <si>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</si>
  <si>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</si>
  <si>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</si>
  <si>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</si>
  <si>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</si>
  <si>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</si>
  <si>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</si>
  <si>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</si>
  <si>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</si>
  <si>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</si>
  <si>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</si>
  <si>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</si>
  <si>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</si>
  <si>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</si>
  <si>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</si>
  <si>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</si>
  <si>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</si>
  <si>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</si>
  <si>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</si>
  <si>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</si>
  <si>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</si>
  <si>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</si>
  <si>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</si>
  <si>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</si>
  <si>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</si>
  <si>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</si>
  <si>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</si>
  <si>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</si>
  <si>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</si>
  <si>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</si>
  <si>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</si>
  <si>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</si>
  <si>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</si>
  <si>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</si>
  <si>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</si>
  <si>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</si>
  <si>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</si>
  <si>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</si>
  <si>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</si>
  <si>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</si>
  <si>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</si>
  <si>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</si>
  <si>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</si>
  <si>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</si>
  <si>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</si>
  <si>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</si>
  <si>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</si>
  <si>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</si>
  <si>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</si>
  <si>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</si>
  <si>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</si>
  <si>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</si>
  <si>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</si>
  <si>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</si>
  <si>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</si>
  <si>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</si>
  <si>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</si>
  <si>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</si>
  <si>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</si>
  <si>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</si>
  <si>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</si>
  <si>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</si>
  <si>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</si>
  <si>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</si>
  <si>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</si>
  <si>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</si>
  <si>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</si>
  <si>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</si>
  <si>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</si>
  <si>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</si>
  <si>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</si>
  <si>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</si>
  <si>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</si>
  <si>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</si>
  <si>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</si>
  <si>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</si>
  <si>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</si>
  <si>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</si>
  <si>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</si>
  <si>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</si>
  <si>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</si>
  <si>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</si>
  <si>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</si>
  <si>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</si>
  <si>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</si>
  <si>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</si>
  <si>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</si>
  <si>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</si>
  <si>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</si>
  <si>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</si>
  <si>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</si>
  <si>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</si>
  <si>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</si>
  <si>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</si>
  <si>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</si>
  <si>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</si>
  <si>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</si>
  <si>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</si>
  <si>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</si>
  <si>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</si>
  <si>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</si>
  <si>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</si>
  <si>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</si>
  <si>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</si>
  <si>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</si>
  <si>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</si>
  <si>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</si>
  <si>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</si>
  <si>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</si>
  <si>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</si>
  <si>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</si>
  <si>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</si>
  <si>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</si>
  <si>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</si>
  <si>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</si>
  <si>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</si>
  <si>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</si>
  <si>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</si>
  <si>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</si>
  <si>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</si>
  <si>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</si>
  <si>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</si>
  <si>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</si>
  <si>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</si>
  <si>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</si>
  <si>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</si>
  <si>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</si>
  <si>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</si>
  <si>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</si>
  <si>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</si>
  <si>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</si>
  <si>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</si>
  <si>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</si>
  <si>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</si>
  <si>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</si>
  <si>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</si>
  <si>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</si>
  <si>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</si>
  <si>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</si>
  <si>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</si>
  <si>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</si>
  <si>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</si>
  <si>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</si>
  <si>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</si>
  <si>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</si>
  <si>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</si>
  <si>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</si>
  <si>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</si>
  <si>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</si>
  <si>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</si>
  <si>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</si>
  <si>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</si>
  <si>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</si>
  <si>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</si>
  <si>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</si>
  <si>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</si>
  <si>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</si>
  <si>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</si>
  <si>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</si>
  <si>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</si>
  <si>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</si>
  <si>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</si>
  <si>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</si>
  <si>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</si>
  <si>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</si>
  <si>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</si>
  <si>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</si>
  <si>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</si>
  <si>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</si>
  <si>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</si>
  <si>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</si>
  <si>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</si>
  <si>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</si>
  <si>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</si>
  <si>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</si>
  <si>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</si>
  <si>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</si>
  <si>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</si>
  <si>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</si>
  <si>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</si>
  <si>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</si>
  <si>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</si>
  <si>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</si>
  <si>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</si>
  <si>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</si>
  <si>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</si>
  <si>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</si>
  <si>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</si>
  <si>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</si>
  <si>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</si>
  <si>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</si>
  <si>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</si>
  <si>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</si>
  <si>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</si>
  <si>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</si>
  <si>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</si>
  <si>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</si>
  <si>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</si>
  <si>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</si>
  <si>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</si>
  <si>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</si>
  <si>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</si>
  <si>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</si>
  <si>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</si>
  <si>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</si>
  <si>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</si>
  <si>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</si>
  <si>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</si>
  <si>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</si>
  <si>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</si>
  <si>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</si>
  <si>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</si>
  <si>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</si>
  <si>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</si>
  <si>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</si>
  <si>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</si>
  <si>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</si>
  <si>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</si>
  <si>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</si>
  <si>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</si>
  <si>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</si>
  <si>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</si>
  <si>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</si>
  <si>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</si>
  <si>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</si>
  <si>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</si>
  <si>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</si>
  <si>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</si>
  <si>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</si>
  <si>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</si>
  <si>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</si>
  <si>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</si>
  <si>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</si>
  <si>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</si>
  <si>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</si>
  <si>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</si>
  <si>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</si>
  <si>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</si>
  <si>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</si>
  <si>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</si>
  <si>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</si>
  <si>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</si>
  <si>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</si>
  <si>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</si>
  <si>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</si>
  <si>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</si>
  <si>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</si>
  <si>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</si>
  <si>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</si>
  <si>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</si>
  <si>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</si>
  <si>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</si>
  <si>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</si>
  <si>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</si>
  <si>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</si>
  <si>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</si>
  <si>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</si>
  <si>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</si>
  <si>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</si>
  <si>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</si>
  <si>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</si>
  <si>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</si>
  <si>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</si>
  <si>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</si>
  <si>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</si>
  <si>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</si>
  <si>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</si>
  <si>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</si>
  <si>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</si>
  <si>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</si>
  <si>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</si>
  <si>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</si>
  <si>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</si>
  <si>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</si>
  <si>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</si>
  <si>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</si>
  <si>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</si>
  <si>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</si>
  <si>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</si>
  <si>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</si>
  <si>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</si>
  <si>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</si>
  <si>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</si>
  <si>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</si>
  <si>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</si>
  <si>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</si>
  <si>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</si>
  <si>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</si>
  <si>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</si>
  <si>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</si>
  <si>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</si>
  <si>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</si>
  <si>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</si>
  <si>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</si>
  <si>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</si>
  <si>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</si>
  <si>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</si>
  <si>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</si>
  <si>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</si>
  <si>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</si>
  <si>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</si>
  <si>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</si>
  <si>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</si>
  <si>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</si>
  <si>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</si>
  <si>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</si>
  <si>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</si>
  <si>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</si>
  <si>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</si>
  <si>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</si>
  <si>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</si>
  <si>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</si>
  <si>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</si>
  <si>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</si>
  <si>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</si>
  <si>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</si>
  <si>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</si>
  <si>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</si>
  <si>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</si>
  <si>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</si>
  <si>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</si>
  <si>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</si>
  <si>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</si>
  <si>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</si>
  <si>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</si>
  <si>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</si>
  <si>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</si>
  <si>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</si>
  <si>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</si>
  <si>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</si>
  <si>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</si>
  <si>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</si>
  <si>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</si>
  <si>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</si>
  <si>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</si>
  <si>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</si>
  <si>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</si>
  <si>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</si>
  <si>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</si>
  <si>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</si>
  <si>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</si>
  <si>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</si>
  <si>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</si>
  <si>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</si>
  <si>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</si>
  <si>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</si>
  <si>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</si>
  <si>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</si>
  <si>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</si>
  <si>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</si>
  <si>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</si>
  <si>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</si>
  <si>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</si>
  <si>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</si>
  <si>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</si>
  <si>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</si>
  <si>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</si>
  <si>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</si>
  <si>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</si>
  <si>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</si>
  <si>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</si>
  <si>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</si>
  <si>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</si>
  <si>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</si>
  <si>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</si>
  <si>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</si>
  <si>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</si>
  <si>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</si>
  <si>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</si>
  <si>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</si>
  <si>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</si>
  <si>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</si>
  <si>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</si>
  <si>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</si>
  <si>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</si>
  <si>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</si>
  <si>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</si>
  <si>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</si>
  <si>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</si>
  <si>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</si>
  <si>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</si>
  <si>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</si>
  <si>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</si>
  <si>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</si>
  <si>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</si>
  <si>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</si>
  <si>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</si>
  <si>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</si>
  <si>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</si>
  <si>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</si>
  <si>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</si>
  <si>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</si>
  <si>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</si>
  <si>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</si>
  <si>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</si>
  <si>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</si>
  <si>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</si>
  <si>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</si>
  <si>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</si>
  <si>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</si>
  <si>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</si>
  <si>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</si>
  <si>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</si>
  <si>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</si>
  <si>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</si>
  <si>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</si>
  <si>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</si>
  <si>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</si>
  <si>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</si>
  <si>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</si>
  <si>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</si>
  <si>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</si>
  <si>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</si>
  <si>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</si>
  <si>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</si>
  <si>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</si>
  <si>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</si>
  <si>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</si>
  <si>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</si>
  <si>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</si>
  <si>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</si>
  <si>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</si>
  <si>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</si>
  <si>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</si>
  <si>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</si>
  <si>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</si>
  <si>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</si>
  <si>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</si>
  <si>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</si>
  <si>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</si>
  <si>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</si>
  <si>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</si>
  <si>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</si>
  <si>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</si>
  <si>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</si>
  <si>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</si>
  <si>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</si>
  <si>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</si>
  <si>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</si>
  <si>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</si>
  <si>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</si>
  <si>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</si>
  <si>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</si>
  <si>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</si>
  <si>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</si>
  <si>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</si>
  <si>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</si>
  <si>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</si>
  <si>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</si>
  <si>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</si>
  <si>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</si>
  <si>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</si>
  <si>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</si>
  <si>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</si>
  <si>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</si>
  <si>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</si>
  <si>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</si>
  <si>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</si>
  <si>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</si>
  <si>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</si>
  <si>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</si>
  <si>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</si>
  <si>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</si>
  <si>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</si>
  <si>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</si>
  <si>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</si>
  <si>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</si>
  <si>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</si>
  <si>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</si>
  <si>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</si>
  <si>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</si>
  <si>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</si>
  <si>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</si>
  <si>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</si>
  <si>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</si>
  <si>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</si>
  <si>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</si>
  <si>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</si>
  <si>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</si>
  <si>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</si>
  <si>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</si>
  <si>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</si>
  <si>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</si>
  <si>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</si>
  <si>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</si>
  <si>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</si>
  <si>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</si>
  <si>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</si>
  <si>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</si>
  <si>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</si>
  <si>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</si>
  <si>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</si>
  <si>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</si>
  <si>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</si>
  <si>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</si>
  <si>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</si>
  <si>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</si>
  <si>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</si>
  <si>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</si>
  <si>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</si>
  <si>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</si>
  <si>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</si>
  <si>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</si>
  <si>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</si>
  <si>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</si>
  <si>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</si>
  <si>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</si>
  <si>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</si>
  <si>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</si>
  <si>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</si>
  <si>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</si>
  <si>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</si>
  <si>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</si>
  <si>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</si>
  <si>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</si>
  <si>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</si>
  <si>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</si>
  <si>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</si>
  <si>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</si>
  <si>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</si>
  <si>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</si>
  <si>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</si>
  <si>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</si>
  <si>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</si>
  <si>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</si>
  <si>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</si>
  <si>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</si>
  <si>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</si>
  <si>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</si>
  <si>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</si>
  <si>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</si>
  <si>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</si>
  <si>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</si>
  <si>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</si>
  <si>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</si>
  <si>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</si>
  <si>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</si>
  <si>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</si>
  <si>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</si>
  <si>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</si>
  <si>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</si>
  <si>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</si>
  <si>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</si>
  <si>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</si>
  <si>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</si>
  <si>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</si>
  <si>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</si>
  <si>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</si>
  <si>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</si>
  <si>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</si>
  <si>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</si>
  <si>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</si>
  <si>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</si>
  <si>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</si>
  <si>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</si>
  <si>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</si>
  <si>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</si>
  <si>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</si>
  <si>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</si>
  <si>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</si>
  <si>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</si>
  <si>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</si>
  <si>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</si>
  <si>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</si>
  <si>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</si>
  <si>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</si>
  <si>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</si>
  <si>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</si>
  <si>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</si>
  <si>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</si>
  <si>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</si>
  <si>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</si>
  <si>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</si>
  <si>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</si>
  <si>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</si>
  <si>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</si>
  <si>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</si>
  <si>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</si>
  <si>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</si>
  <si>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</si>
  <si>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</si>
  <si>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</si>
  <si>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</si>
  <si>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</si>
  <si>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</si>
  <si>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</si>
  <si>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</si>
  <si>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</si>
  <si>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</si>
  <si>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</si>
  <si>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</si>
  <si>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</si>
  <si>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</si>
  <si>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</si>
  <si>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</si>
  <si>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</si>
  <si>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</si>
  <si>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</si>
  <si>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</si>
  <si>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</si>
  <si>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</si>
  <si>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</si>
  <si>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</si>
  <si>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</si>
  <si>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</si>
  <si>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</si>
  <si>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</si>
  <si>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</si>
  <si>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</si>
  <si>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</si>
  <si>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</si>
  <si>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</si>
  <si>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</si>
  <si>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</si>
  <si>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</si>
  <si>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</si>
  <si>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</si>
  <si>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</si>
  <si>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</si>
  <si>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</si>
  <si>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</si>
  <si>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</si>
  <si>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</si>
  <si>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</si>
  <si>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</si>
  <si>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</si>
  <si>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</si>
  <si>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</si>
  <si>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</si>
  <si>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</si>
  <si>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</si>
  <si>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</si>
  <si>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</si>
  <si>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</si>
  <si>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</si>
  <si>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</si>
  <si>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</si>
  <si>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</si>
  <si>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</si>
  <si>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</si>
  <si>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</si>
  <si>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</si>
  <si>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</si>
  <si>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</si>
  <si>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</si>
  <si>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</si>
  <si>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</si>
  <si>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</si>
  <si>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</si>
  <si>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</si>
  <si>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</si>
  <si>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</si>
  <si>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</si>
  <si>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</si>
  <si>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</si>
  <si>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</si>
  <si>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</si>
  <si>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</si>
  <si>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</si>
  <si>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</si>
  <si>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</si>
  <si>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</si>
  <si>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</si>
  <si>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</si>
  <si>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</si>
  <si>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</si>
  <si>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</si>
  <si>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</si>
  <si>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</si>
  <si>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</si>
  <si>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</si>
  <si>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</si>
  <si>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</si>
  <si>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</si>
  <si>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</si>
  <si>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</si>
  <si>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</si>
  <si>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</si>
  <si>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</si>
  <si>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</si>
  <si>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</si>
  <si>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</si>
  <si>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</si>
  <si>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</si>
  <si>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</si>
  <si>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</si>
  <si>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</si>
  <si>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</si>
  <si>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</si>
  <si>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</si>
  <si>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</si>
  <si>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</si>
  <si>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</si>
  <si>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</si>
  <si>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</si>
  <si>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</si>
  <si>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</si>
  <si>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</si>
  <si>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</si>
  <si>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</si>
  <si>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</si>
  <si>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</si>
  <si>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</si>
  <si>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</si>
  <si>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</si>
  <si>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</si>
  <si>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</si>
  <si>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</si>
  <si>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</si>
  <si>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</si>
  <si>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</si>
  <si>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</si>
  <si>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</si>
  <si>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</si>
  <si>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</si>
  <si>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</si>
  <si>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</si>
  <si>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</si>
  <si>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</si>
  <si>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</si>
  <si>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</si>
  <si>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</si>
  <si>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</si>
  <si>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</si>
  <si>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</si>
  <si>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</si>
  <si>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</si>
  <si>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</si>
  <si>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</si>
  <si>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</si>
  <si>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</si>
  <si>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</si>
  <si>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</si>
  <si>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</si>
  <si>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</si>
  <si>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</si>
  <si>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</si>
  <si>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</si>
  <si>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</si>
  <si>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</si>
  <si>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</si>
  <si>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</si>
  <si>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</si>
  <si>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</si>
  <si>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</si>
  <si>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</si>
  <si>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</si>
  <si>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</si>
  <si>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</si>
  <si>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</si>
  <si>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</si>
  <si>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</si>
  <si>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</si>
  <si>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</si>
  <si>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</si>
  <si>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</si>
  <si>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</si>
  <si>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</si>
  <si>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</si>
  <si>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</si>
  <si>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</si>
  <si>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</si>
  <si>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</si>
  <si>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</si>
  <si>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</si>
  <si>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</si>
  <si>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</si>
  <si>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</si>
  <si>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</si>
  <si>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</si>
  <si>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</si>
  <si>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</si>
  <si>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</si>
  <si>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</si>
  <si>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</si>
  <si>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</si>
  <si>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</si>
  <si>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</si>
  <si>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</si>
  <si>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</si>
  <si>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</si>
  <si>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</si>
  <si>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</si>
  <si>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</si>
  <si>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</si>
  <si>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</si>
  <si>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</si>
  <si>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</si>
  <si>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</si>
  <si>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</si>
  <si>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</si>
  <si>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</si>
  <si>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</si>
  <si>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</si>
  <si>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</si>
  <si>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</si>
  <si>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</si>
  <si>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</si>
  <si>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</si>
  <si>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</si>
  <si>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</si>
  <si>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</si>
  <si>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</si>
  <si>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</si>
  <si>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</si>
  <si>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</si>
  <si>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</si>
  <si>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</si>
  <si>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</si>
  <si>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</si>
  <si>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</si>
  <si>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</si>
  <si>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</si>
  <si>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</si>
  <si>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</si>
  <si>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</si>
  <si>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</si>
  <si>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</si>
  <si>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</si>
  <si>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</si>
  <si>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</si>
  <si>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</si>
  <si>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</si>
  <si>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</si>
  <si>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</si>
  <si>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</si>
  <si>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</si>
  <si>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</si>
  <si>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</si>
  <si>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</si>
  <si>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</si>
  <si>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</si>
  <si>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</si>
  <si>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</si>
  <si>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</si>
  <si>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</si>
  <si>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</si>
  <si>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</si>
  <si>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</si>
  <si>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</si>
  <si>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</si>
  <si>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</si>
  <si>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</si>
  <si>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</si>
  <si>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</si>
  <si>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</si>
  <si>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</si>
  <si>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</si>
  <si>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</si>
  <si>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</si>
  <si>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</si>
  <si>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</si>
  <si>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</si>
  <si>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</si>
  <si>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</si>
  <si>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</si>
  <si>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</si>
  <si>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</si>
  <si>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</si>
  <si>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</si>
  <si>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</si>
  <si>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</si>
  <si>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</si>
  <si>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</si>
  <si>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</si>
  <si>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</si>
  <si>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</si>
  <si>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</si>
  <si>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</si>
  <si>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</si>
  <si>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</si>
  <si>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</si>
  <si>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</si>
  <si>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</si>
  <si>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</si>
  <si>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</si>
  <si>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</si>
  <si>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</si>
  <si>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</si>
  <si>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</si>
  <si>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</si>
  <si>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</si>
  <si>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</si>
  <si>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</si>
  <si>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</si>
  <si>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</si>
  <si>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</si>
  <si>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</si>
  <si>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</si>
  <si>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</si>
  <si>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</si>
  <si>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</si>
  <si>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</si>
  <si>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</si>
  <si>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</si>
  <si>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</si>
  <si>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</si>
  <si>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</si>
  <si>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</si>
  <si>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</si>
  <si>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</si>
  <si>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</si>
  <si>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</si>
  <si>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</si>
  <si>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</si>
  <si>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</si>
  <si>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</si>
  <si>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</si>
  <si>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</si>
  <si>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</si>
  <si>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</si>
  <si>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</si>
  <si>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</si>
  <si>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</si>
  <si>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</si>
  <si>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</si>
  <si>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</si>
  <si>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</si>
  <si>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</si>
  <si>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</si>
  <si>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</si>
  <si>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</si>
  <si>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</si>
  <si>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</si>
  <si>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</si>
  <si>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</si>
  <si>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</si>
  <si>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</si>
  <si>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</si>
  <si>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</si>
  <si>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</si>
  <si>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</si>
  <si>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</si>
  <si>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</si>
  <si>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</si>
  <si>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</si>
  <si>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</si>
  <si>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</si>
  <si>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</si>
  <si>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</si>
  <si>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</si>
  <si>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</si>
  <si>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</si>
  <si>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</si>
  <si>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</si>
  <si>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</si>
  <si>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</si>
  <si>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</si>
  <si>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</si>
  <si>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</si>
  <si>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</si>
  <si>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</si>
  <si>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</si>
  <si>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</si>
  <si>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</si>
  <si>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</si>
  <si>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</si>
  <si>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</si>
  <si>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</si>
  <si>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</si>
  <si>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</si>
  <si>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</si>
  <si>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</si>
  <si>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</si>
  <si>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</si>
  <si>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</si>
  <si>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</si>
  <si>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</si>
  <si>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</si>
  <si>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</si>
  <si>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</si>
  <si>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</si>
  <si>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</si>
  <si>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</si>
  <si>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</si>
  <si>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</si>
  <si>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</si>
  <si>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</si>
  <si>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</si>
  <si>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</si>
  <si>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</si>
  <si>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</si>
  <si>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</si>
  <si>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</si>
  <si>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</si>
  <si>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</si>
  <si>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</si>
  <si>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</si>
  <si>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</si>
  <si>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</si>
  <si>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</si>
  <si>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</si>
  <si>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</si>
  <si>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</si>
  <si>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</si>
  <si>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</si>
  <si>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</si>
  <si>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</si>
  <si>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</si>
  <si>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</si>
  <si>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</si>
  <si>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</si>
  <si>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</si>
  <si>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</si>
  <si>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</si>
  <si>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</si>
  <si>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</si>
  <si>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</si>
  <si>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</si>
  <si>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</si>
  <si>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</si>
  <si>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</si>
  <si>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</si>
  <si>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</si>
  <si>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</si>
  <si>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</si>
  <si>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</si>
  <si>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</si>
  <si>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</si>
  <si>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</si>
  <si>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</si>
  <si>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</si>
  <si>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</si>
  <si>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</si>
  <si>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</si>
  <si>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</si>
  <si>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</si>
  <si>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</si>
  <si>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</si>
  <si>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</si>
  <si>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</si>
  <si>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</si>
  <si>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</si>
  <si>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</si>
  <si>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</si>
  <si>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</si>
  <si>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</si>
  <si>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</si>
  <si>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</si>
  <si>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</si>
  <si>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</si>
  <si>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</si>
  <si>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</si>
  <si>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</si>
  <si>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</si>
  <si>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</si>
  <si>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</si>
  <si>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</si>
  <si>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</si>
  <si>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</si>
  <si>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</si>
  <si>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</si>
  <si>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</si>
  <si>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</si>
  <si>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</si>
  <si>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</si>
  <si>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</si>
  <si>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</si>
  <si>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</si>
  <si>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</si>
  <si>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</si>
  <si>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</si>
  <si>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</si>
  <si>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</si>
  <si>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</si>
  <si>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</si>
  <si>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</si>
  <si>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</si>
  <si>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</si>
  <si>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</si>
  <si>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</si>
  <si>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</si>
  <si>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</si>
  <si>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</si>
  <si>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</si>
  <si>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</si>
  <si>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</si>
  <si>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</si>
  <si>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</si>
  <si>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</si>
  <si>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</si>
  <si>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</si>
  <si>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</si>
  <si>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</si>
  <si>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</si>
  <si>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</si>
  <si>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</si>
  <si>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</si>
  <si>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</si>
  <si>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</si>
  <si>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</si>
  <si>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</si>
  <si>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</si>
  <si>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</si>
  <si>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</si>
  <si>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</si>
  <si>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</si>
  <si>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</si>
  <si>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</si>
  <si>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</si>
  <si>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</si>
  <si>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</si>
  <si>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</si>
  <si>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</si>
  <si>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</si>
  <si>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</si>
  <si>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</si>
  <si>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</si>
  <si>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</si>
  <si>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</si>
  <si>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</si>
  <si>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</si>
  <si>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</si>
  <si>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</si>
  <si>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</si>
  <si>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</si>
  <si>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</si>
  <si>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</si>
  <si>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</si>
  <si>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</si>
  <si>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</si>
  <si>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</si>
  <si>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</si>
  <si>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</si>
  <si>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</si>
  <si>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</si>
  <si>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</si>
  <si>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</si>
  <si>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</si>
  <si>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</si>
  <si>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</si>
  <si>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</si>
  <si>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</si>
  <si>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</si>
  <si>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</si>
  <si>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</si>
  <si>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</si>
  <si>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</si>
  <si>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</si>
  <si>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</si>
  <si>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</si>
  <si>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</si>
  <si>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</si>
  <si>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</si>
  <si>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</si>
  <si>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</si>
  <si>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</si>
  <si>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</si>
  <si>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</si>
  <si>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</si>
  <si>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</si>
  <si>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</si>
  <si>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</si>
  <si>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</si>
  <si>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</si>
  <si>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</si>
  <si>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</si>
  <si>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</si>
  <si>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</si>
  <si>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</si>
  <si>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</si>
  <si>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</si>
  <si>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</si>
  <si>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</si>
  <si>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</si>
  <si>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</si>
  <si>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</si>
  <si>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</si>
  <si>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</si>
  <si>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</si>
  <si>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</si>
  <si>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</si>
  <si>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</si>
  <si>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</si>
  <si>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</si>
  <si>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</si>
  <si>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</si>
  <si>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</si>
  <si>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</si>
  <si>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</si>
  <si>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</si>
  <si>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</si>
  <si>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</si>
  <si>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</si>
  <si>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</si>
  <si>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</si>
  <si>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</si>
  <si>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</si>
  <si>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</si>
  <si>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</si>
  <si>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</si>
  <si>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</si>
  <si>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</si>
  <si>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</si>
  <si>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</si>
  <si>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</si>
  <si>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</si>
  <si>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</si>
  <si>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</si>
  <si>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</si>
  <si>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</si>
  <si>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</si>
  <si>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</si>
  <si>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</si>
  <si>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</si>
  <si>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</si>
  <si>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</si>
  <si>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</si>
  <si>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</si>
  <si>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</si>
  <si>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</si>
  <si>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</si>
  <si>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</si>
  <si>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</si>
  <si>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</si>
  <si>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</si>
  <si>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</si>
  <si>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</si>
  <si>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</si>
  <si>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</si>
  <si>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</si>
  <si>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</si>
  <si>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</si>
  <si>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</si>
  <si>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</si>
  <si>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</si>
  <si>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</si>
  <si>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</si>
  <si>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</si>
  <si>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</si>
  <si>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</si>
  <si>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</si>
  <si>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</si>
  <si>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</si>
  <si>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</si>
  <si>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</si>
  <si>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</si>
  <si>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</si>
  <si>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</si>
  <si>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</si>
  <si>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</si>
  <si>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</si>
  <si>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</si>
  <si>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</si>
  <si>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</si>
  <si>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</si>
  <si>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</si>
  <si>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</si>
  <si>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</si>
  <si>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</si>
  <si>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</si>
  <si>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</si>
  <si>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</si>
  <si>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</si>
  <si>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</si>
  <si>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</si>
  <si>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</si>
  <si>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</si>
  <si>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</si>
  <si>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</si>
  <si>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</si>
  <si>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</si>
  <si>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</si>
  <si>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</si>
  <si>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</si>
  <si>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</si>
  <si>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</si>
  <si>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</si>
  <si>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</si>
  <si>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</si>
  <si>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</si>
  <si>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</si>
  <si>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</si>
  <si>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</si>
  <si>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</si>
  <si>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</si>
  <si>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</si>
  <si>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</si>
  <si>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</si>
  <si>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</si>
  <si>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</si>
  <si>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</si>
  <si>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</si>
  <si>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</si>
  <si>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</si>
  <si>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</si>
  <si>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</si>
  <si>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</si>
  <si>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</si>
  <si>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</si>
  <si>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</si>
  <si>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</si>
  <si>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</si>
  <si>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</si>
  <si>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</si>
  <si>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</si>
  <si>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</si>
  <si>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</si>
  <si>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</si>
  <si>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</si>
  <si>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</si>
  <si>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</si>
  <si>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</si>
  <si>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</si>
  <si>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</si>
  <si>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</si>
  <si>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</si>
  <si>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</si>
  <si>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</si>
  <si>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</si>
  <si>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</si>
  <si>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</si>
  <si>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</si>
  <si>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</si>
  <si>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</si>
  <si>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</si>
  <si>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</si>
  <si>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</si>
  <si>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</si>
  <si>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</si>
  <si>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</si>
  <si>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</si>
  <si>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</si>
  <si>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</si>
  <si>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</si>
  <si>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</si>
  <si>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</si>
  <si>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</si>
  <si>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</si>
  <si>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</si>
  <si>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</si>
  <si>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</si>
  <si>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</si>
  <si>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</si>
  <si>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</si>
  <si>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</si>
  <si>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</si>
  <si>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</si>
  <si>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</si>
  <si>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</si>
  <si>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</si>
  <si>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</si>
  <si>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</si>
  <si>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</si>
  <si>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</si>
  <si>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</si>
  <si>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</si>
  <si>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</si>
  <si>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</si>
  <si>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</si>
  <si>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</si>
  <si>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</si>
  <si>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</si>
  <si>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</si>
  <si>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</si>
  <si>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</si>
  <si>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</si>
  <si>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</si>
  <si>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</si>
  <si>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CHICHESTER SCHOOL DISTRICT</t>
  </si>
  <si>
    <t>Previous years IDEA was booked in our system under fund 1 and fund 10 on the MS25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</si>
</sst>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28" activePane="bottomRight" state="frozen"/>
      <selection activeCell="K624" activeCellId="1" sqref="K639 K624"/>
      <selection pane="topRight" activeCell="K624" activeCellId="1" sqref="K639 K624"/>
      <selection pane="bottomLeft" activeCell="K624" activeCellId="1" sqref="K639 K624"/>
      <selection pane="bottomRight" activeCell="F48" sqref="F48"/>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99</v>
      </c>
      <c r="C2" s="21">
        <v>99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1250250.71+150</f>
        <v>1250400.71</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106278.9</v>
      </c>
      <c r="G12" s="18">
        <v>0</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72796.820000000007</v>
      </c>
      <c r="G13" s="18">
        <v>5359.82</v>
      </c>
      <c r="H13" s="18">
        <v>0</v>
      </c>
      <c r="I13" s="18"/>
      <c r="J13" s="67">
        <f>SUM(I443)</f>
        <v>116748.94</v>
      </c>
      <c r="K13" s="24" t="s">
        <v>288</v>
      </c>
      <c r="L13" s="24" t="s">
        <v>288</v>
      </c>
      <c r="M13" s="8"/>
      <c r="N13" s="264"/>
    </row>
    <row r="14" spans="1:14" s="3" customFormat="1" ht="12.2" customHeight="1" x14ac:dyDescent="0.15">
      <c r="A14" s="1" t="s">
        <v>565</v>
      </c>
      <c r="B14" s="2" t="s">
        <v>289</v>
      </c>
      <c r="C14" s="6">
        <v>6</v>
      </c>
      <c r="D14" s="2" t="s">
        <v>428</v>
      </c>
      <c r="E14" s="6">
        <v>150</v>
      </c>
      <c r="F14" s="18">
        <v>0</v>
      </c>
      <c r="G14" s="18">
        <v>-171.4</v>
      </c>
      <c r="H14" s="18">
        <v>113222.54</v>
      </c>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v>4325.74</v>
      </c>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v>0</v>
      </c>
      <c r="G17" s="18">
        <v>0</v>
      </c>
      <c r="H17" s="18">
        <v>0</v>
      </c>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v>-182.44</v>
      </c>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1429476.43</v>
      </c>
      <c r="G19" s="41">
        <f>SUM(G9:G18)</f>
        <v>9514.16</v>
      </c>
      <c r="H19" s="41">
        <f>SUM(H9:H18)</f>
        <v>113040.09999999999</v>
      </c>
      <c r="I19" s="41">
        <f>SUM(I9:I18)</f>
        <v>0</v>
      </c>
      <c r="J19" s="41">
        <f>SUM(J9:J18)</f>
        <v>116748.94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907426.84</v>
      </c>
      <c r="G22" s="18">
        <v>9514.16</v>
      </c>
      <c r="H22" s="18">
        <v>105475.62</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v>4684.93</v>
      </c>
      <c r="G23" s="18">
        <v>0</v>
      </c>
      <c r="H23" s="18">
        <v>2890.11</v>
      </c>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0</v>
      </c>
      <c r="G24" s="18">
        <v>0</v>
      </c>
      <c r="H24" s="18">
        <v>0</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0</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0</v>
      </c>
      <c r="G29" s="18"/>
      <c r="H29" s="18">
        <v>0</v>
      </c>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0</v>
      </c>
      <c r="G30" s="18"/>
      <c r="H30" s="18">
        <v>0</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v>0</v>
      </c>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912111.77</v>
      </c>
      <c r="G32" s="41">
        <f>SUM(G22:G31)</f>
        <v>9514.16</v>
      </c>
      <c r="H32" s="41">
        <f>SUM(H22:H31)</f>
        <v>108365.73</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60000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120620</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f>4856.81-182.44</f>
        <v>4674.3700000000008</v>
      </c>
      <c r="I48" s="18"/>
      <c r="J48" s="13">
        <f>SUM(I460)</f>
        <v>116748.94</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336744.66</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517364.66</v>
      </c>
      <c r="G51" s="41">
        <f>SUM(G35:G50)</f>
        <v>0</v>
      </c>
      <c r="H51" s="41">
        <f>SUM(H35:H50)</f>
        <v>4674.3700000000008</v>
      </c>
      <c r="I51" s="41">
        <f>SUM(I35:I50)</f>
        <v>0</v>
      </c>
      <c r="J51" s="41">
        <f>SUM(J35:J50)</f>
        <v>116748.94</v>
      </c>
      <c r="K51" s="45" t="s">
        <v>288</v>
      </c>
      <c r="L51" s="45" t="s">
        <v>288</v>
      </c>
      <c r="N51" s="262"/>
    </row>
    <row r="52" spans="1:14" s="3" customFormat="1" ht="12.2" customHeight="1" thickTop="1" x14ac:dyDescent="0.15">
      <c r="A52" s="38" t="s">
        <v>455</v>
      </c>
      <c r="B52" s="39" t="s">
        <v>289</v>
      </c>
      <c r="C52" s="6">
        <v>37</v>
      </c>
      <c r="D52" s="39" t="s">
        <v>653</v>
      </c>
      <c r="E52" s="39"/>
      <c r="F52" s="41">
        <f>F51+F32</f>
        <v>1429476.43</v>
      </c>
      <c r="G52" s="41">
        <f>G51+G32</f>
        <v>9514.16</v>
      </c>
      <c r="H52" s="41">
        <f>H51+H32</f>
        <v>113040.09999999999</v>
      </c>
      <c r="I52" s="41">
        <f>I51+I32</f>
        <v>0</v>
      </c>
      <c r="J52" s="41">
        <f>J51+J32</f>
        <v>116748.94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4222253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4222253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0</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0</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v>0</v>
      </c>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1130.3399999999999</v>
      </c>
      <c r="G96" s="18"/>
      <c r="H96" s="18"/>
      <c r="I96" s="18"/>
      <c r="J96" s="18">
        <v>1162.76</v>
      </c>
      <c r="K96" s="24" t="s">
        <v>288</v>
      </c>
      <c r="L96" s="24" t="s">
        <v>288</v>
      </c>
      <c r="M96" s="8"/>
      <c r="N96" s="264"/>
    </row>
    <row r="97" spans="1:14" s="3" customFormat="1" ht="12.2" customHeight="1" x14ac:dyDescent="0.15">
      <c r="A97" s="1" t="s">
        <v>503</v>
      </c>
      <c r="B97" s="2" t="s">
        <v>315</v>
      </c>
      <c r="C97" s="6">
        <v>12</v>
      </c>
      <c r="D97" s="2" t="s">
        <v>430</v>
      </c>
      <c r="E97" s="6">
        <v>1600</v>
      </c>
      <c r="F97" s="24" t="s">
        <v>288</v>
      </c>
      <c r="G97" s="18">
        <v>2012.29</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v>0</v>
      </c>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0</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v>20037.7</v>
      </c>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0</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-539.16</v>
      </c>
      <c r="G110" s="18">
        <f>514.66-138.25</f>
        <v>376.40999999999997</v>
      </c>
      <c r="H110" s="18"/>
      <c r="I110" s="18"/>
      <c r="J110" s="18">
        <v>4105.05</v>
      </c>
      <c r="K110" s="24" t="s">
        <v>288</v>
      </c>
      <c r="L110" s="24" t="s">
        <v>288</v>
      </c>
      <c r="M110" s="8"/>
      <c r="N110" s="264"/>
    </row>
    <row r="111" spans="1:14" ht="12.2" customHeight="1" thickTop="1" thickBot="1" x14ac:dyDescent="0.25">
      <c r="A111" s="38" t="s">
        <v>433</v>
      </c>
      <c r="B111" s="39" t="s">
        <v>315</v>
      </c>
      <c r="C111" s="40">
        <v>25</v>
      </c>
      <c r="D111" s="39" t="s">
        <v>430</v>
      </c>
      <c r="E111" s="40"/>
      <c r="F111" s="41">
        <f>SUM(F96:F110)</f>
        <v>20628.88</v>
      </c>
      <c r="G111" s="41">
        <f>SUM(G96:G110)</f>
        <v>2388.6999999999998</v>
      </c>
      <c r="H111" s="41">
        <f>SUM(H96:H110)</f>
        <v>0</v>
      </c>
      <c r="I111" s="41">
        <f>SUM(I96:I110)</f>
        <v>0</v>
      </c>
      <c r="J111" s="41">
        <f>SUM(J96:J110)</f>
        <v>5267.81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4242881.88</v>
      </c>
      <c r="G112" s="41">
        <f>G60+G111</f>
        <v>2388.6999999999998</v>
      </c>
      <c r="H112" s="41">
        <f>H60+H79+H94+H111</f>
        <v>0</v>
      </c>
      <c r="I112" s="41">
        <f>I60+I111</f>
        <v>0</v>
      </c>
      <c r="J112" s="41">
        <f>J60+J111</f>
        <v>5267.81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899162.98</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602553</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1501715.98</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0</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64981.61</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107.38</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0</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64981.61</v>
      </c>
      <c r="G136" s="41">
        <f>SUM(G123:G135)</f>
        <v>107.38</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1566697.59</v>
      </c>
      <c r="G140" s="41">
        <f>G121+SUM(G136:G137)</f>
        <v>107.38</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v>0</v>
      </c>
      <c r="G152" s="24" t="s">
        <v>288</v>
      </c>
      <c r="H152" s="18">
        <v>8904.01</v>
      </c>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16594.34</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58048.01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40904.29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71410.759999999995</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9558.69</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f>64400+526.81</f>
        <v>64926.81</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93390.3</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9558.69</v>
      </c>
      <c r="G163" s="41">
        <f>SUM(G150:G162)</f>
        <v>40904.29</v>
      </c>
      <c r="H163" s="41">
        <f>SUM(H150:H162)</f>
        <v>313274.23</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9558.69</v>
      </c>
      <c r="G170" s="41">
        <f>G147+G163+SUM(G164:G169)</f>
        <v>40904.29</v>
      </c>
      <c r="H170" s="41">
        <f>H147+H163+SUM(H164:H169)</f>
        <v>313274.23</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51008.82</v>
      </c>
      <c r="H180" s="18"/>
      <c r="I180" s="18"/>
      <c r="J180" s="18">
        <v>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51008.82</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v>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51008.82</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5819138.1600000001</v>
      </c>
      <c r="G194" s="47">
        <f>G112+G140+G170+G193</f>
        <v>94409.19</v>
      </c>
      <c r="H194" s="47">
        <f>H112+H140+H170+H193</f>
        <v>313274.23</v>
      </c>
      <c r="I194" s="47">
        <f>I112+I140+I170+I193</f>
        <v>0</v>
      </c>
      <c r="J194" s="47">
        <f>J112+J140+J193</f>
        <v>5267.81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1335265.6299999999</v>
      </c>
      <c r="G198" s="18">
        <v>611656.44999999995</v>
      </c>
      <c r="H198" s="18">
        <v>44914.84</v>
      </c>
      <c r="I198" s="18">
        <v>27871.59</v>
      </c>
      <c r="J198" s="18">
        <v>60902.34</v>
      </c>
      <c r="K198" s="18">
        <v>0</v>
      </c>
      <c r="L198" s="19">
        <f>SUM(F198:K198)</f>
        <v>2080610.85</v>
      </c>
      <c r="M198" s="8"/>
      <c r="N198" s="264"/>
    </row>
    <row r="199" spans="1:14" s="3" customFormat="1" ht="12.2" customHeight="1" x14ac:dyDescent="0.15">
      <c r="A199" s="1" t="s">
        <v>439</v>
      </c>
      <c r="B199" s="2" t="s">
        <v>341</v>
      </c>
      <c r="C199" s="2" t="s">
        <v>291</v>
      </c>
      <c r="D199" s="2" t="s">
        <v>431</v>
      </c>
      <c r="E199" s="6">
        <v>1200</v>
      </c>
      <c r="F199" s="18">
        <f>456666.21-71410.76</f>
        <v>385255.45</v>
      </c>
      <c r="G199" s="18">
        <v>209188.96</v>
      </c>
      <c r="H199" s="18">
        <f>231086.6+84.08+40</f>
        <v>231210.68</v>
      </c>
      <c r="I199" s="18">
        <v>2355.36</v>
      </c>
      <c r="J199" s="18">
        <v>0</v>
      </c>
      <c r="K199" s="18">
        <v>325</v>
      </c>
      <c r="L199" s="19">
        <f>SUM(F199:K199)</f>
        <v>828335.45000000007</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27044</v>
      </c>
      <c r="G201" s="18">
        <v>12388.27</v>
      </c>
      <c r="H201" s="18">
        <v>1068.07</v>
      </c>
      <c r="I201" s="18">
        <v>2916.21</v>
      </c>
      <c r="J201" s="18">
        <v>0</v>
      </c>
      <c r="K201" s="18">
        <v>4618.78</v>
      </c>
      <c r="L201" s="19">
        <f>SUM(F201:K201)</f>
        <v>48035.33</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126993</v>
      </c>
      <c r="G203" s="18">
        <v>58172.76</v>
      </c>
      <c r="H203" s="18">
        <f>165619.15+677.6+210+300</f>
        <v>166806.75</v>
      </c>
      <c r="I203" s="18">
        <v>5745.79</v>
      </c>
      <c r="J203" s="18">
        <v>385</v>
      </c>
      <c r="K203" s="18">
        <v>198.99</v>
      </c>
      <c r="L203" s="19">
        <f t="shared" ref="L203:L209" si="0">SUM(F203:K203)</f>
        <v>358302.29</v>
      </c>
      <c r="M203" s="8"/>
      <c r="N203" s="264"/>
    </row>
    <row r="204" spans="1:14" s="3" customFormat="1" ht="12.2" customHeight="1" x14ac:dyDescent="0.15">
      <c r="A204" s="1" t="s">
        <v>443</v>
      </c>
      <c r="B204" s="2" t="s">
        <v>341</v>
      </c>
      <c r="C204" s="2" t="s">
        <v>295</v>
      </c>
      <c r="D204" s="2" t="s">
        <v>431</v>
      </c>
      <c r="E204" s="6">
        <v>2200</v>
      </c>
      <c r="F204" s="18">
        <v>115912.16</v>
      </c>
      <c r="G204" s="18">
        <v>53096.87</v>
      </c>
      <c r="H204" s="18">
        <v>11052</v>
      </c>
      <c r="I204" s="18">
        <v>2391.7199999999998</v>
      </c>
      <c r="J204" s="18">
        <v>0</v>
      </c>
      <c r="K204" s="18">
        <v>0</v>
      </c>
      <c r="L204" s="19">
        <f t="shared" si="0"/>
        <v>182452.75</v>
      </c>
      <c r="M204" s="8"/>
      <c r="N204" s="264"/>
    </row>
    <row r="205" spans="1:14" s="3" customFormat="1" ht="12.2" customHeight="1" x14ac:dyDescent="0.15">
      <c r="A205" s="1" t="s">
        <v>444</v>
      </c>
      <c r="B205" s="2" t="s">
        <v>341</v>
      </c>
      <c r="C205" s="2" t="s">
        <v>296</v>
      </c>
      <c r="D205" s="2" t="s">
        <v>431</v>
      </c>
      <c r="E205" s="6">
        <v>2300</v>
      </c>
      <c r="F205" s="18">
        <v>6824.3</v>
      </c>
      <c r="G205" s="18">
        <v>3126.06</v>
      </c>
      <c r="H205" s="18">
        <v>185573.38</v>
      </c>
      <c r="I205" s="18">
        <v>2551.25</v>
      </c>
      <c r="J205" s="18">
        <v>0</v>
      </c>
      <c r="K205" s="18">
        <v>3553.51</v>
      </c>
      <c r="L205" s="19">
        <f t="shared" si="0"/>
        <v>201628.5</v>
      </c>
      <c r="M205" s="8"/>
      <c r="N205" s="264"/>
    </row>
    <row r="206" spans="1:14" s="3" customFormat="1" ht="12.2" customHeight="1" x14ac:dyDescent="0.15">
      <c r="A206" s="1" t="s">
        <v>445</v>
      </c>
      <c r="B206" s="2" t="s">
        <v>341</v>
      </c>
      <c r="C206" s="2" t="s">
        <v>297</v>
      </c>
      <c r="D206" s="2" t="s">
        <v>431</v>
      </c>
      <c r="E206" s="6">
        <v>2400</v>
      </c>
      <c r="F206" s="18">
        <v>129555.23</v>
      </c>
      <c r="G206" s="18">
        <v>59346.46</v>
      </c>
      <c r="H206" s="18">
        <v>15934.71</v>
      </c>
      <c r="I206" s="18">
        <v>439.29</v>
      </c>
      <c r="J206" s="18">
        <v>548.25</v>
      </c>
      <c r="K206" s="18">
        <v>795</v>
      </c>
      <c r="L206" s="19">
        <f t="shared" si="0"/>
        <v>206618.94</v>
      </c>
      <c r="M206" s="8"/>
      <c r="N206" s="264"/>
    </row>
    <row r="207" spans="1:14" s="3" customFormat="1" ht="12.2" customHeight="1" x14ac:dyDescent="0.15">
      <c r="A207" s="1" t="s">
        <v>446</v>
      </c>
      <c r="B207" s="2" t="s">
        <v>341</v>
      </c>
      <c r="C207" s="2" t="s">
        <v>298</v>
      </c>
      <c r="D207" s="2" t="s">
        <v>431</v>
      </c>
      <c r="E207" s="6">
        <v>2500</v>
      </c>
      <c r="F207" s="18"/>
      <c r="G207" s="18">
        <v>0</v>
      </c>
      <c r="H207" s="18">
        <v>0</v>
      </c>
      <c r="I207" s="18">
        <v>0</v>
      </c>
      <c r="J207" s="18">
        <v>0</v>
      </c>
      <c r="K207" s="18">
        <v>0</v>
      </c>
      <c r="L207" s="19">
        <f t="shared" si="0"/>
        <v>0</v>
      </c>
      <c r="M207" s="8"/>
      <c r="N207" s="264"/>
    </row>
    <row r="208" spans="1:14" s="3" customFormat="1" ht="12.2" customHeight="1" x14ac:dyDescent="0.15">
      <c r="A208" s="1" t="s">
        <v>447</v>
      </c>
      <c r="B208" s="2" t="s">
        <v>341</v>
      </c>
      <c r="C208" s="2" t="s">
        <v>299</v>
      </c>
      <c r="D208" s="2" t="s">
        <v>431</v>
      </c>
      <c r="E208" s="6">
        <v>2600</v>
      </c>
      <c r="F208" s="18">
        <v>71544.12</v>
      </c>
      <c r="G208" s="18">
        <v>32772.82</v>
      </c>
      <c r="H208" s="18">
        <f>199597.91+16425</f>
        <v>216022.91</v>
      </c>
      <c r="I208" s="18">
        <v>93591.32</v>
      </c>
      <c r="J208" s="18">
        <v>3401.14</v>
      </c>
      <c r="K208" s="18">
        <v>0</v>
      </c>
      <c r="L208" s="19">
        <f>SUM(F208:K208)</f>
        <v>417332.31</v>
      </c>
      <c r="M208" s="8"/>
      <c r="N208" s="264"/>
    </row>
    <row r="209" spans="1:14" s="3" customFormat="1" ht="12.2" customHeight="1" x14ac:dyDescent="0.15">
      <c r="A209" s="1" t="s">
        <v>448</v>
      </c>
      <c r="B209" s="2" t="s">
        <v>341</v>
      </c>
      <c r="C209" s="2" t="s">
        <v>300</v>
      </c>
      <c r="D209" s="2" t="s">
        <v>431</v>
      </c>
      <c r="E209" s="6">
        <v>2700</v>
      </c>
      <c r="F209" s="18"/>
      <c r="G209" s="18"/>
      <c r="H209" s="18">
        <f>215402.69+36469.99</f>
        <v>251872.68</v>
      </c>
      <c r="I209" s="18"/>
      <c r="J209" s="18"/>
      <c r="K209" s="18"/>
      <c r="L209" s="19">
        <f t="shared" si="0"/>
        <v>251872.68</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2198393.89</v>
      </c>
      <c r="G212" s="41">
        <f t="shared" si="1"/>
        <v>1039748.6499999999</v>
      </c>
      <c r="H212" s="41">
        <f t="shared" si="1"/>
        <v>1124456.02</v>
      </c>
      <c r="I212" s="41">
        <f t="shared" si="1"/>
        <v>137862.53000000003</v>
      </c>
      <c r="J212" s="41">
        <f t="shared" si="1"/>
        <v>65236.729999999996</v>
      </c>
      <c r="K212" s="41">
        <f t="shared" si="1"/>
        <v>9491.2799999999988</v>
      </c>
      <c r="L212" s="41">
        <f t="shared" si="1"/>
        <v>4575189.0999999996</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4"/>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4"/>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4"/>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4"/>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4"/>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v>1104380.6000000001</v>
      </c>
      <c r="I234" s="18"/>
      <c r="J234" s="18"/>
      <c r="K234" s="18"/>
      <c r="L234" s="19">
        <f>SUM(F234:K234)</f>
        <v>1104380.6000000001</v>
      </c>
      <c r="M234" s="8"/>
      <c r="N234" s="264"/>
    </row>
    <row r="235" spans="1:14" s="3" customFormat="1" ht="12.2" customHeight="1" x14ac:dyDescent="0.15">
      <c r="A235" s="1" t="s">
        <v>439</v>
      </c>
      <c r="B235" s="2" t="s">
        <v>350</v>
      </c>
      <c r="C235" s="2" t="s">
        <v>291</v>
      </c>
      <c r="D235" s="2" t="s">
        <v>431</v>
      </c>
      <c r="E235" s="6">
        <v>1200</v>
      </c>
      <c r="F235" s="18"/>
      <c r="G235" s="18"/>
      <c r="H235" s="18">
        <f>114143.46</f>
        <v>114143.46</v>
      </c>
      <c r="I235" s="18"/>
      <c r="J235" s="18"/>
      <c r="K235" s="18"/>
      <c r="L235" s="19">
        <f>SUM(F235:K235)</f>
        <v>114143.46</v>
      </c>
      <c r="M235" s="8"/>
      <c r="N235" s="264"/>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v>12138.21</v>
      </c>
      <c r="I239" s="18"/>
      <c r="J239" s="18"/>
      <c r="K239" s="18"/>
      <c r="L239" s="19">
        <f t="shared" ref="L239:L245" si="4">SUM(F239:K239)</f>
        <v>12138.21</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c r="G244" s="18"/>
      <c r="H244" s="18">
        <v>0</v>
      </c>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v>40418.78</v>
      </c>
      <c r="I245" s="18"/>
      <c r="J245" s="18"/>
      <c r="K245" s="18"/>
      <c r="L245" s="19">
        <f t="shared" si="4"/>
        <v>40418.78</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1271081.05</v>
      </c>
      <c r="I248" s="41">
        <f t="shared" si="5"/>
        <v>0</v>
      </c>
      <c r="J248" s="41">
        <f t="shared" si="5"/>
        <v>0</v>
      </c>
      <c r="K248" s="41">
        <f t="shared" si="5"/>
        <v>0</v>
      </c>
      <c r="L248" s="41">
        <f t="shared" si="5"/>
        <v>1271081.05</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v>0</v>
      </c>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4"/>
    </row>
    <row r="258" spans="1:14" s="3" customFormat="1" ht="12.2" customHeight="1" thickTop="1" x14ac:dyDescent="0.15">
      <c r="A258" s="38" t="s">
        <v>462</v>
      </c>
      <c r="B258" s="40">
        <v>10</v>
      </c>
      <c r="C258" s="40">
        <v>8</v>
      </c>
      <c r="D258" s="39" t="s">
        <v>431</v>
      </c>
      <c r="E258" s="40"/>
      <c r="F258" s="41">
        <f t="shared" ref="F258:L258" si="8">F212+F230+F248+F257</f>
        <v>2198393.89</v>
      </c>
      <c r="G258" s="41">
        <f t="shared" si="8"/>
        <v>1039748.6499999999</v>
      </c>
      <c r="H258" s="41">
        <f t="shared" si="8"/>
        <v>2395537.0700000003</v>
      </c>
      <c r="I258" s="41">
        <f t="shared" si="8"/>
        <v>137862.53000000003</v>
      </c>
      <c r="J258" s="41">
        <f t="shared" si="8"/>
        <v>65236.729999999996</v>
      </c>
      <c r="K258" s="41">
        <f t="shared" si="8"/>
        <v>9491.2799999999988</v>
      </c>
      <c r="L258" s="41">
        <f t="shared" si="8"/>
        <v>5846270.1499999994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0</v>
      </c>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51008.82</v>
      </c>
      <c r="L264" s="19">
        <f>SUM(F264:K264)</f>
        <v>51008.82</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0</v>
      </c>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0</v>
      </c>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12288.85</v>
      </c>
      <c r="L269" s="19">
        <f t="shared" si="9"/>
        <v>12288.85</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63297.67</v>
      </c>
      <c r="L271" s="41">
        <f t="shared" si="9"/>
        <v>63297.67</v>
      </c>
      <c r="M271" s="8"/>
      <c r="N271" s="264"/>
    </row>
    <row r="272" spans="1:14" s="34" customFormat="1" ht="12.2" customHeight="1" thickTop="1" x14ac:dyDescent="0.2">
      <c r="A272" s="43" t="s">
        <v>464</v>
      </c>
      <c r="B272" s="40">
        <v>10</v>
      </c>
      <c r="C272" s="40">
        <v>18</v>
      </c>
      <c r="D272" s="39" t="s">
        <v>431</v>
      </c>
      <c r="E272" s="40"/>
      <c r="F272" s="42">
        <f t="shared" ref="F272:L272" si="11">F258+F271</f>
        <v>2198393.89</v>
      </c>
      <c r="G272" s="42">
        <f t="shared" si="11"/>
        <v>1039748.6499999999</v>
      </c>
      <c r="H272" s="42">
        <f t="shared" si="11"/>
        <v>2395537.0700000003</v>
      </c>
      <c r="I272" s="42">
        <f t="shared" si="11"/>
        <v>137862.53000000003</v>
      </c>
      <c r="J272" s="42">
        <f t="shared" si="11"/>
        <v>65236.729999999996</v>
      </c>
      <c r="K272" s="42">
        <f t="shared" si="11"/>
        <v>72788.95</v>
      </c>
      <c r="L272" s="42">
        <f t="shared" si="11"/>
        <v>5909567.8199999994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11980.85</v>
      </c>
      <c r="G277" s="18">
        <v>981.27</v>
      </c>
      <c r="H277" s="18">
        <v>5723.05</v>
      </c>
      <c r="I277" s="18">
        <f>13401.84+209</f>
        <v>13610.84</v>
      </c>
      <c r="J277" s="18">
        <v>59648.68</v>
      </c>
      <c r="K277" s="18"/>
      <c r="L277" s="19">
        <f>SUM(F277:K277)</f>
        <v>91944.69</v>
      </c>
      <c r="M277" s="8"/>
      <c r="N277" s="264"/>
    </row>
    <row r="278" spans="1:14" s="3" customFormat="1" ht="12.2" customHeight="1" x14ac:dyDescent="0.15">
      <c r="A278" s="1" t="s">
        <v>439</v>
      </c>
      <c r="B278" s="2" t="s">
        <v>357</v>
      </c>
      <c r="C278" s="2" t="s">
        <v>291</v>
      </c>
      <c r="D278" s="2" t="s">
        <v>431</v>
      </c>
      <c r="E278" s="6">
        <v>1200</v>
      </c>
      <c r="F278" s="18">
        <f>2260+71410.76</f>
        <v>73670.759999999995</v>
      </c>
      <c r="G278" s="18"/>
      <c r="H278" s="18"/>
      <c r="I278" s="18">
        <v>200</v>
      </c>
      <c r="J278" s="18">
        <v>6970.82</v>
      </c>
      <c r="K278" s="18"/>
      <c r="L278" s="19">
        <f>SUM(F278:K278)</f>
        <v>80841.579999999987</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0</v>
      </c>
      <c r="G282" s="18">
        <v>0</v>
      </c>
      <c r="H282" s="18">
        <v>0</v>
      </c>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v>1050</v>
      </c>
      <c r="G283" s="18"/>
      <c r="H283" s="18">
        <v>9200</v>
      </c>
      <c r="I283" s="18">
        <v>866.11</v>
      </c>
      <c r="J283" s="18"/>
      <c r="K283" s="18">
        <v>0</v>
      </c>
      <c r="L283" s="19">
        <f t="shared" si="12"/>
        <v>11116.11</v>
      </c>
      <c r="M283" s="8"/>
      <c r="N283" s="264"/>
    </row>
    <row r="284" spans="1:14" s="3" customFormat="1" ht="12.2" customHeight="1" x14ac:dyDescent="0.15">
      <c r="A284" s="1" t="s">
        <v>444</v>
      </c>
      <c r="B284" s="2" t="s">
        <v>357</v>
      </c>
      <c r="C284" s="2" t="s">
        <v>296</v>
      </c>
      <c r="D284" s="2" t="s">
        <v>431</v>
      </c>
      <c r="E284" s="6">
        <v>2300</v>
      </c>
      <c r="F284" s="18">
        <v>0</v>
      </c>
      <c r="G284" s="18">
        <v>0</v>
      </c>
      <c r="H284" s="18"/>
      <c r="I284" s="18"/>
      <c r="J284" s="18"/>
      <c r="K284" s="18">
        <v>3503.41</v>
      </c>
      <c r="L284" s="19">
        <f t="shared" si="12"/>
        <v>3503.41</v>
      </c>
      <c r="M284" s="8"/>
      <c r="N284" s="264"/>
    </row>
    <row r="285" spans="1:14" s="3" customFormat="1" ht="12.2" customHeight="1" x14ac:dyDescent="0.15">
      <c r="A285" s="1" t="s">
        <v>445</v>
      </c>
      <c r="B285" s="2" t="s">
        <v>357</v>
      </c>
      <c r="C285" s="2" t="s">
        <v>297</v>
      </c>
      <c r="D285" s="2" t="s">
        <v>431</v>
      </c>
      <c r="E285" s="6">
        <v>2400</v>
      </c>
      <c r="F285" s="18"/>
      <c r="G285" s="18"/>
      <c r="H285" s="18">
        <v>1166</v>
      </c>
      <c r="I285" s="18"/>
      <c r="J285" s="18"/>
      <c r="K285" s="18"/>
      <c r="L285" s="19">
        <f t="shared" si="12"/>
        <v>1166</v>
      </c>
      <c r="M285" s="8"/>
      <c r="N285" s="264"/>
    </row>
    <row r="286" spans="1:14" s="3" customFormat="1" ht="12.2" customHeight="1" x14ac:dyDescent="0.15">
      <c r="A286" s="1" t="s">
        <v>446</v>
      </c>
      <c r="B286" s="2" t="s">
        <v>357</v>
      </c>
      <c r="C286" s="2" t="s">
        <v>298</v>
      </c>
      <c r="D286" s="2" t="s">
        <v>431</v>
      </c>
      <c r="E286" s="6">
        <v>2500</v>
      </c>
      <c r="F286" s="18">
        <v>3820</v>
      </c>
      <c r="G286" s="18"/>
      <c r="H286" s="18">
        <v>4020</v>
      </c>
      <c r="I286" s="18">
        <v>9573.4</v>
      </c>
      <c r="J286" s="18">
        <v>38093.78</v>
      </c>
      <c r="K286" s="18"/>
      <c r="L286" s="19">
        <f t="shared" si="12"/>
        <v>55507.18</v>
      </c>
      <c r="M286" s="8"/>
      <c r="N286" s="264"/>
    </row>
    <row r="287" spans="1:14" s="3" customFormat="1" ht="12.2" customHeight="1" x14ac:dyDescent="0.15">
      <c r="A287" s="1" t="s">
        <v>447</v>
      </c>
      <c r="B287" s="2" t="s">
        <v>357</v>
      </c>
      <c r="C287" s="2" t="s">
        <v>299</v>
      </c>
      <c r="D287" s="2" t="s">
        <v>431</v>
      </c>
      <c r="E287" s="6">
        <v>2600</v>
      </c>
      <c r="F287" s="18"/>
      <c r="G287" s="18"/>
      <c r="H287" s="18">
        <v>64667</v>
      </c>
      <c r="I287" s="18">
        <f>2733.49+1616.77+178</f>
        <v>4528.26</v>
      </c>
      <c r="J287" s="18"/>
      <c r="K287" s="18"/>
      <c r="L287" s="19">
        <f t="shared" si="12"/>
        <v>69195.259999999995</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90521.61</v>
      </c>
      <c r="G291" s="42">
        <f t="shared" si="13"/>
        <v>981.27</v>
      </c>
      <c r="H291" s="42">
        <f t="shared" si="13"/>
        <v>84776.05</v>
      </c>
      <c r="I291" s="42">
        <f t="shared" si="13"/>
        <v>28778.61</v>
      </c>
      <c r="J291" s="42">
        <f t="shared" si="13"/>
        <v>104713.28</v>
      </c>
      <c r="K291" s="42">
        <f t="shared" si="13"/>
        <v>3503.41</v>
      </c>
      <c r="L291" s="41">
        <f t="shared" si="13"/>
        <v>313274.23</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90521.61</v>
      </c>
      <c r="G339" s="41">
        <f t="shared" si="20"/>
        <v>981.27</v>
      </c>
      <c r="H339" s="41">
        <f t="shared" si="20"/>
        <v>84776.05</v>
      </c>
      <c r="I339" s="41">
        <f t="shared" si="20"/>
        <v>28778.61</v>
      </c>
      <c r="J339" s="41">
        <f t="shared" si="20"/>
        <v>104713.28</v>
      </c>
      <c r="K339" s="41">
        <f t="shared" si="20"/>
        <v>3503.41</v>
      </c>
      <c r="L339" s="41">
        <f t="shared" si="20"/>
        <v>313274.23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90521.61</v>
      </c>
      <c r="G353" s="41">
        <f>G339</f>
        <v>981.27</v>
      </c>
      <c r="H353" s="41">
        <f>H339</f>
        <v>84776.05</v>
      </c>
      <c r="I353" s="41">
        <f>I339</f>
        <v>28778.61</v>
      </c>
      <c r="J353" s="41">
        <f>J339</f>
        <v>104713.28</v>
      </c>
      <c r="K353" s="47">
        <f>K339+K352</f>
        <v>3503.41</v>
      </c>
      <c r="L353" s="41">
        <f>L339+L352</f>
        <v>313274.23</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42985.59</v>
      </c>
      <c r="G359" s="18">
        <v>20971.99</v>
      </c>
      <c r="H359" s="18">
        <v>4127.51</v>
      </c>
      <c r="I359" s="18">
        <v>23324.1</v>
      </c>
      <c r="J359" s="18">
        <v>3000</v>
      </c>
      <c r="K359" s="18">
        <v>0</v>
      </c>
      <c r="L359" s="13">
        <f>SUM(F359:K359)</f>
        <v>94409.19</v>
      </c>
      <c r="M359" s="8"/>
      <c r="N359" s="264"/>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42985.59</v>
      </c>
      <c r="G363" s="47">
        <f t="shared" si="22"/>
        <v>20971.99</v>
      </c>
      <c r="H363" s="47">
        <f t="shared" si="22"/>
        <v>4127.51</v>
      </c>
      <c r="I363" s="47">
        <f t="shared" si="22"/>
        <v>23324.1</v>
      </c>
      <c r="J363" s="47">
        <f t="shared" si="22"/>
        <v>3000</v>
      </c>
      <c r="K363" s="47">
        <f t="shared" si="22"/>
        <v>0</v>
      </c>
      <c r="L363" s="47">
        <f t="shared" si="22"/>
        <v>94409.19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f>18060.17+2412.94</f>
        <v>20473.109999999997</v>
      </c>
      <c r="G368" s="18"/>
      <c r="H368" s="18"/>
      <c r="I368" s="56">
        <f>SUM(F368:H368)</f>
        <v>20473.109999999997</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2850.99</v>
      </c>
      <c r="G369" s="63"/>
      <c r="H369" s="63"/>
      <c r="I369" s="56">
        <f>SUM(F369:H369)</f>
        <v>2850.99</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23324.1</v>
      </c>
      <c r="G370" s="47">
        <f>SUM(G368:G369)</f>
        <v>0</v>
      </c>
      <c r="H370" s="47">
        <f>SUM(H368:H369)</f>
        <v>0</v>
      </c>
      <c r="I370" s="47">
        <f>SUM(I368:I369)</f>
        <v>23324.1</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v>0</v>
      </c>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v>0</v>
      </c>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391.6</v>
      </c>
      <c r="I397" s="18">
        <v>1382.53</v>
      </c>
      <c r="J397" s="24" t="s">
        <v>288</v>
      </c>
      <c r="K397" s="24" t="s">
        <v>288</v>
      </c>
      <c r="L397" s="56">
        <f t="shared" si="26"/>
        <v>1774.13</v>
      </c>
      <c r="M397" s="8"/>
      <c r="N397" s="264"/>
    </row>
    <row r="398" spans="1:14" s="3" customFormat="1" ht="12.2" customHeight="1" x14ac:dyDescent="0.15">
      <c r="A398" s="79" t="s">
        <v>515</v>
      </c>
      <c r="B398" s="2" t="s">
        <v>381</v>
      </c>
      <c r="C398" s="6">
        <v>10</v>
      </c>
      <c r="D398" s="2" t="s">
        <v>432</v>
      </c>
      <c r="E398" s="6"/>
      <c r="F398" s="18"/>
      <c r="G398" s="18"/>
      <c r="H398" s="18">
        <v>288.41000000000003</v>
      </c>
      <c r="I398" s="18">
        <v>1018.28</v>
      </c>
      <c r="J398" s="24" t="s">
        <v>288</v>
      </c>
      <c r="K398" s="24" t="s">
        <v>288</v>
      </c>
      <c r="L398" s="56">
        <f t="shared" si="26"/>
        <v>1306.69</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244.72</v>
      </c>
      <c r="I400" s="18">
        <v>863.92</v>
      </c>
      <c r="J400" s="24" t="s">
        <v>288</v>
      </c>
      <c r="K400" s="24" t="s">
        <v>288</v>
      </c>
      <c r="L400" s="56">
        <f t="shared" si="26"/>
        <v>1108.6399999999999</v>
      </c>
      <c r="M400" s="8"/>
      <c r="N400" s="264"/>
    </row>
    <row r="401" spans="1:21" s="3" customFormat="1" ht="12.2" customHeight="1" thickBot="1" x14ac:dyDescent="0.2">
      <c r="A401" s="79" t="s">
        <v>510</v>
      </c>
      <c r="B401" s="2" t="s">
        <v>381</v>
      </c>
      <c r="C401" s="6">
        <v>13</v>
      </c>
      <c r="D401" s="2" t="s">
        <v>432</v>
      </c>
      <c r="E401" s="6"/>
      <c r="F401" s="18"/>
      <c r="G401" s="18"/>
      <c r="H401" s="18">
        <v>238.03</v>
      </c>
      <c r="I401" s="18">
        <v>840.32</v>
      </c>
      <c r="J401" s="24" t="s">
        <v>288</v>
      </c>
      <c r="K401" s="24" t="s">
        <v>288</v>
      </c>
      <c r="L401" s="56">
        <f t="shared" si="26"/>
        <v>1078.3500000000001</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1162.76</v>
      </c>
      <c r="I402" s="47">
        <f>SUM(I396:I401)</f>
        <v>4105.05</v>
      </c>
      <c r="J402" s="45" t="s">
        <v>288</v>
      </c>
      <c r="K402" s="45" t="s">
        <v>288</v>
      </c>
      <c r="L402" s="47">
        <f>SUM(L396:L401)</f>
        <v>5267.81</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1162.76</v>
      </c>
      <c r="I409" s="47">
        <f>I394+I402+I408</f>
        <v>4105.05</v>
      </c>
      <c r="J409" s="24" t="s">
        <v>288</v>
      </c>
      <c r="K409" s="24" t="s">
        <v>288</v>
      </c>
      <c r="L409" s="47">
        <f>L394+L402+L408</f>
        <v>5267.81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v>0</v>
      </c>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v>116748.94</v>
      </c>
      <c r="H443" s="18"/>
      <c r="I443" s="56">
        <f t="shared" si="33"/>
        <v>116748.94</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116748.94</v>
      </c>
      <c r="H447" s="13">
        <f>SUM(H440:H446)</f>
        <v>0</v>
      </c>
      <c r="I447" s="13">
        <f>SUM(I440:I446)</f>
        <v>116748.94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f>G443</f>
        <v>116748.94</v>
      </c>
      <c r="H460" s="18"/>
      <c r="I460" s="56">
        <f t="shared" si="34"/>
        <v>116748.94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116748.94</v>
      </c>
      <c r="H461" s="83">
        <f>SUM(H455:H460)</f>
        <v>0</v>
      </c>
      <c r="I461" s="83">
        <f>SUM(I455:I460)</f>
        <v>116748.94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116748.94</v>
      </c>
      <c r="H462" s="42">
        <f>H453+H461</f>
        <v>0</v>
      </c>
      <c r="I462" s="42">
        <f>I453+I461</f>
        <v>116748.94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607794.31999999995</v>
      </c>
      <c r="G466" s="18">
        <v>0</v>
      </c>
      <c r="H466" s="18">
        <f>-182.44+4856.81</f>
        <v>4674.3700000000008</v>
      </c>
      <c r="I466" s="18">
        <v>0</v>
      </c>
      <c r="J466" s="18">
        <v>111481.13</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5890548.92-71410.76</f>
        <v>5819138.1600000001</v>
      </c>
      <c r="G469" s="18">
        <v>94409.19</v>
      </c>
      <c r="H469" s="18">
        <f>241863.47+71410.76</f>
        <v>313274.23</v>
      </c>
      <c r="I469" s="18"/>
      <c r="J469" s="18">
        <f>1162.76+4105.05</f>
        <v>5267.81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5819138.1600000001</v>
      </c>
      <c r="G471" s="53">
        <f>SUM(G469:G470)</f>
        <v>94409.19</v>
      </c>
      <c r="H471" s="53">
        <f>SUM(H469:H470)</f>
        <v>313274.23</v>
      </c>
      <c r="I471" s="53">
        <f>SUM(I469:I470)</f>
        <v>0</v>
      </c>
      <c r="J471" s="53">
        <f>SUM(J469:J470)</f>
        <v>5267.81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5980978.58-71410.76</f>
        <v>5909567.8200000003</v>
      </c>
      <c r="G473" s="18">
        <v>94409.19</v>
      </c>
      <c r="H473" s="18">
        <f>241863.47+71410.76</f>
        <v>313274.23</v>
      </c>
      <c r="I473" s="18"/>
      <c r="J473" s="18"/>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5909567.8200000003</v>
      </c>
      <c r="G475" s="53">
        <f>SUM(G473:G474)</f>
        <v>94409.19</v>
      </c>
      <c r="H475" s="53">
        <f>SUM(H473:H474)</f>
        <v>313274.23</v>
      </c>
      <c r="I475" s="53">
        <f>SUM(I473:I474)</f>
        <v>0</v>
      </c>
      <c r="J475" s="53">
        <f>SUM(J473:J474)</f>
        <v>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517364.66000000015</v>
      </c>
      <c r="G477" s="53">
        <f>(G466+G471)- G475</f>
        <v>0</v>
      </c>
      <c r="H477" s="53">
        <f>(H466+H471)- H475</f>
        <v>4674.3699999999953</v>
      </c>
      <c r="I477" s="53">
        <f>(I466+I471)- I475</f>
        <v>0</v>
      </c>
      <c r="J477" s="53">
        <f>(J466+J471)- J475</f>
        <v>116748.94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
        <v>385255.45</v>
      </c>
      <c r="G522" s="18">
        <f t="shared" ref="G522:K522" si="36">G199</f>
        <v>209188.96</v>
      </c>
      <c r="H522" s="18">
        <f t="shared" si="36"/>
        <v>231210.68</v>
      </c>
      <c r="I522" s="18">
        <f t="shared" si="36"/>
        <v>2355.36</v>
      </c>
      <c r="J522" s="18">
        <f t="shared" si="36"/>
        <v>0</v>
      </c>
      <c r="K522" s="18">
        <f t="shared" si="36"/>
        <v>325</v>
      </c>
      <c r="L522" s="88">
        <f>SUM(F522:K522)</f>
        <v>828335.45000000007</v>
      </c>
      <c r="N522" s="263"/>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3"/>
    </row>
    <row r="524" spans="1:14" s="52" customFormat="1" ht="12.2" customHeight="1" thickBot="1" x14ac:dyDescent="0.25">
      <c r="A524" s="22" t="s">
        <v>635</v>
      </c>
      <c r="B524" s="105">
        <v>21</v>
      </c>
      <c r="C524" s="115">
        <v>3</v>
      </c>
      <c r="D524" s="2" t="s">
        <v>432</v>
      </c>
      <c r="E524" s="115"/>
      <c r="F524" s="18">
        <f>F235</f>
        <v>0</v>
      </c>
      <c r="G524" s="18">
        <f t="shared" ref="G524:K524" si="37">G235</f>
        <v>0</v>
      </c>
      <c r="H524" s="18">
        <f t="shared" si="37"/>
        <v>114143.46</v>
      </c>
      <c r="I524" s="18">
        <f t="shared" si="37"/>
        <v>0</v>
      </c>
      <c r="J524" s="18">
        <f t="shared" si="37"/>
        <v>0</v>
      </c>
      <c r="K524" s="18">
        <f t="shared" si="37"/>
        <v>0</v>
      </c>
      <c r="L524" s="88">
        <f>SUM(F524:K524)</f>
        <v>114143.46</v>
      </c>
      <c r="N524" s="263"/>
    </row>
    <row r="525" spans="1:14" s="52" customFormat="1" ht="12.2" customHeight="1" thickTop="1" x14ac:dyDescent="0.2">
      <c r="A525" s="139" t="s">
        <v>63</v>
      </c>
      <c r="B525" s="107">
        <v>21</v>
      </c>
      <c r="C525" s="195">
        <v>4</v>
      </c>
      <c r="D525" s="196" t="s">
        <v>432</v>
      </c>
      <c r="E525" s="195"/>
      <c r="F525" s="108">
        <f>SUM(F522:F524)</f>
        <v>385255.45</v>
      </c>
      <c r="G525" s="108">
        <f t="shared" ref="G525:L525" si="38">SUM(G522:G524)</f>
        <v>209188.96</v>
      </c>
      <c r="H525" s="108">
        <f t="shared" si="38"/>
        <v>345354.14</v>
      </c>
      <c r="I525" s="108">
        <f t="shared" si="38"/>
        <v>2355.36</v>
      </c>
      <c r="J525" s="108">
        <f t="shared" si="38"/>
        <v>0</v>
      </c>
      <c r="K525" s="108">
        <f t="shared" si="38"/>
        <v>325</v>
      </c>
      <c r="L525" s="89">
        <f t="shared" si="38"/>
        <v>942478.91</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f>H203</f>
        <v>166806.75</v>
      </c>
      <c r="I527" s="18"/>
      <c r="J527" s="18"/>
      <c r="K527" s="18"/>
      <c r="L527" s="88">
        <f>SUM(F527:K527)</f>
        <v>166806.75</v>
      </c>
      <c r="M527" s="8"/>
      <c r="N527" s="264"/>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4"/>
    </row>
    <row r="529" spans="1:14" s="3" customFormat="1" ht="12.2" customHeight="1" thickBot="1" x14ac:dyDescent="0.2">
      <c r="A529" s="22" t="s">
        <v>635</v>
      </c>
      <c r="B529" s="118">
        <v>21</v>
      </c>
      <c r="C529" s="118">
        <v>7</v>
      </c>
      <c r="D529" s="2" t="s">
        <v>432</v>
      </c>
      <c r="E529" s="118"/>
      <c r="F529" s="18"/>
      <c r="G529" s="18"/>
      <c r="H529" s="18">
        <f>H239</f>
        <v>12138.21</v>
      </c>
      <c r="I529" s="18"/>
      <c r="J529" s="18"/>
      <c r="K529" s="18"/>
      <c r="L529" s="88">
        <f>SUM(F529:K529)</f>
        <v>12138.21</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9">SUM(G527:G529)</f>
        <v>0</v>
      </c>
      <c r="H530" s="89">
        <f t="shared" si="39"/>
        <v>178944.96</v>
      </c>
      <c r="I530" s="89">
        <f t="shared" si="39"/>
        <v>0</v>
      </c>
      <c r="J530" s="89">
        <f t="shared" si="39"/>
        <v>0</v>
      </c>
      <c r="K530" s="89">
        <f t="shared" si="39"/>
        <v>0</v>
      </c>
      <c r="L530" s="89">
        <f t="shared" si="39"/>
        <v>178944.96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8976</v>
      </c>
      <c r="G532" s="18">
        <v>4036.89</v>
      </c>
      <c r="H532" s="18"/>
      <c r="I532" s="18"/>
      <c r="J532" s="18"/>
      <c r="K532" s="18"/>
      <c r="L532" s="88">
        <f>SUM(F532:K532)</f>
        <v>13012.89</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v>2244</v>
      </c>
      <c r="G534" s="18">
        <v>1009.22</v>
      </c>
      <c r="H534" s="18"/>
      <c r="I534" s="18"/>
      <c r="J534" s="18"/>
      <c r="K534" s="18"/>
      <c r="L534" s="88">
        <f>SUM(F534:K534)</f>
        <v>3253.2200000000003</v>
      </c>
      <c r="M534" s="8"/>
      <c r="N534" s="264"/>
    </row>
    <row r="535" spans="1:14" s="3" customFormat="1" ht="12.2" customHeight="1" thickTop="1" x14ac:dyDescent="0.15">
      <c r="A535" s="139" t="s">
        <v>67</v>
      </c>
      <c r="B535" s="107">
        <v>21</v>
      </c>
      <c r="C535" s="107">
        <v>12</v>
      </c>
      <c r="D535" s="158" t="s">
        <v>432</v>
      </c>
      <c r="E535" s="107"/>
      <c r="F535" s="89">
        <f>SUM(F532:F534)</f>
        <v>11220</v>
      </c>
      <c r="G535" s="89">
        <f t="shared" ref="G535:L535" si="40">SUM(G532:G534)</f>
        <v>5046.1099999999997</v>
      </c>
      <c r="H535" s="89">
        <f t="shared" si="40"/>
        <v>0</v>
      </c>
      <c r="I535" s="89">
        <f t="shared" si="40"/>
        <v>0</v>
      </c>
      <c r="J535" s="89">
        <f t="shared" si="40"/>
        <v>0</v>
      </c>
      <c r="K535" s="89">
        <f t="shared" si="40"/>
        <v>0</v>
      </c>
      <c r="L535" s="89">
        <f t="shared" si="40"/>
        <v>16266.11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1">SUM(G537:G539)</f>
        <v>0</v>
      </c>
      <c r="H540" s="89">
        <f t="shared" si="41"/>
        <v>0</v>
      </c>
      <c r="I540" s="89">
        <f t="shared" si="41"/>
        <v>0</v>
      </c>
      <c r="J540" s="89">
        <f t="shared" si="41"/>
        <v>0</v>
      </c>
      <c r="K540" s="89">
        <f t="shared" si="41"/>
        <v>0</v>
      </c>
      <c r="L540" s="89">
        <f t="shared" si="41"/>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36469.99</v>
      </c>
      <c r="I542" s="18"/>
      <c r="J542" s="18"/>
      <c r="K542" s="18"/>
      <c r="L542" s="88">
        <f>SUM(F542:K542)</f>
        <v>36469.99</v>
      </c>
      <c r="M542" s="8"/>
      <c r="N542" s="264"/>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4"/>
    </row>
    <row r="544" spans="1:14" s="3" customFormat="1" ht="12.2" customHeight="1" thickBot="1" x14ac:dyDescent="0.2">
      <c r="A544" s="22" t="s">
        <v>635</v>
      </c>
      <c r="B544" s="105">
        <v>21</v>
      </c>
      <c r="C544" s="105">
        <v>19</v>
      </c>
      <c r="D544" s="2" t="s">
        <v>432</v>
      </c>
      <c r="E544" s="105"/>
      <c r="F544" s="18"/>
      <c r="G544" s="18"/>
      <c r="H544" s="18">
        <v>9142.9500000000007</v>
      </c>
      <c r="I544" s="18"/>
      <c r="J544" s="18"/>
      <c r="K544" s="18"/>
      <c r="L544" s="88">
        <f>SUM(F544:K544)</f>
        <v>9142.9500000000007</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2">SUM(G542:G544)</f>
        <v>0</v>
      </c>
      <c r="H545" s="193">
        <f t="shared" si="42"/>
        <v>45612.94</v>
      </c>
      <c r="I545" s="193">
        <f t="shared" si="42"/>
        <v>0</v>
      </c>
      <c r="J545" s="193">
        <f t="shared" si="42"/>
        <v>0</v>
      </c>
      <c r="K545" s="193">
        <f t="shared" si="42"/>
        <v>0</v>
      </c>
      <c r="L545" s="193">
        <f t="shared" si="42"/>
        <v>45612.94</v>
      </c>
      <c r="M545" s="8"/>
      <c r="N545" s="264"/>
    </row>
    <row r="546" spans="1:14" s="3" customFormat="1" ht="12.2" customHeight="1" thickTop="1" x14ac:dyDescent="0.15">
      <c r="A546" s="98" t="s">
        <v>72</v>
      </c>
      <c r="B546" s="107">
        <v>21</v>
      </c>
      <c r="C546" s="107">
        <v>21</v>
      </c>
      <c r="D546" s="158" t="s">
        <v>432</v>
      </c>
      <c r="E546" s="107"/>
      <c r="F546" s="89">
        <f>F525+F530+F535+F540+F545</f>
        <v>396475.45</v>
      </c>
      <c r="G546" s="89">
        <f t="shared" ref="G546:L546" si="43">G525+G530+G535+G540+G545</f>
        <v>214235.06999999998</v>
      </c>
      <c r="H546" s="89">
        <f t="shared" si="43"/>
        <v>569912.04</v>
      </c>
      <c r="I546" s="89">
        <f t="shared" si="43"/>
        <v>2355.36</v>
      </c>
      <c r="J546" s="89">
        <f t="shared" si="43"/>
        <v>0</v>
      </c>
      <c r="K546" s="89">
        <f t="shared" si="43"/>
        <v>325</v>
      </c>
      <c r="L546" s="89">
        <f t="shared" si="43"/>
        <v>1183302.9200000002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828335.45000000007</v>
      </c>
      <c r="G550" s="87">
        <f>L527</f>
        <v>166806.75</v>
      </c>
      <c r="H550" s="87">
        <f>L532</f>
        <v>13012.89</v>
      </c>
      <c r="I550" s="87">
        <f>L537</f>
        <v>0</v>
      </c>
      <c r="J550" s="87">
        <f>L542</f>
        <v>36469.99</v>
      </c>
      <c r="K550" s="87">
        <f>SUM(F550:J550)</f>
        <v>1044625.0800000001</v>
      </c>
      <c r="L550" s="24" t="s">
        <v>288</v>
      </c>
      <c r="M550" s="8"/>
      <c r="N550" s="264"/>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4"/>
    </row>
    <row r="552" spans="1:14" s="3" customFormat="1" ht="12.2" customHeight="1" thickBot="1" x14ac:dyDescent="0.2">
      <c r="A552" s="22" t="s">
        <v>635</v>
      </c>
      <c r="B552" s="75">
        <v>21</v>
      </c>
      <c r="C552" s="75">
        <v>24</v>
      </c>
      <c r="D552" s="2" t="s">
        <v>432</v>
      </c>
      <c r="E552" s="75"/>
      <c r="F552" s="87">
        <f>L524</f>
        <v>114143.46</v>
      </c>
      <c r="G552" s="87">
        <f>L529</f>
        <v>12138.21</v>
      </c>
      <c r="H552" s="87">
        <f>L534</f>
        <v>3253.2200000000003</v>
      </c>
      <c r="I552" s="87">
        <f>L539</f>
        <v>0</v>
      </c>
      <c r="J552" s="87">
        <f>L544</f>
        <v>9142.9500000000007</v>
      </c>
      <c r="K552" s="87">
        <f>SUM(F552:J552)</f>
        <v>138677.84000000003</v>
      </c>
      <c r="L552" s="24" t="s">
        <v>288</v>
      </c>
      <c r="M552" s="8"/>
      <c r="N552" s="264"/>
    </row>
    <row r="553" spans="1:14" s="3" customFormat="1" ht="12.2" customHeight="1" thickTop="1" x14ac:dyDescent="0.15">
      <c r="A553" s="172" t="s">
        <v>340</v>
      </c>
      <c r="B553" s="44">
        <v>21</v>
      </c>
      <c r="C553" s="44">
        <v>25</v>
      </c>
      <c r="D553" s="39" t="s">
        <v>432</v>
      </c>
      <c r="E553" s="44"/>
      <c r="F553" s="89">
        <f t="shared" ref="F553:K553" si="44">SUM(F550:F552)</f>
        <v>942478.91</v>
      </c>
      <c r="G553" s="89">
        <f t="shared" si="44"/>
        <v>178944.96</v>
      </c>
      <c r="H553" s="89">
        <f t="shared" si="44"/>
        <v>16266.11</v>
      </c>
      <c r="I553" s="89">
        <f t="shared" si="44"/>
        <v>0</v>
      </c>
      <c r="J553" s="89">
        <f t="shared" si="44"/>
        <v>45612.94</v>
      </c>
      <c r="K553" s="89">
        <f t="shared" si="44"/>
        <v>1183302.9200000002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5">SUM(F558:F560)</f>
        <v>0</v>
      </c>
      <c r="G561" s="108">
        <f t="shared" si="45"/>
        <v>0</v>
      </c>
      <c r="H561" s="108">
        <f t="shared" si="45"/>
        <v>0</v>
      </c>
      <c r="I561" s="108">
        <f t="shared" si="45"/>
        <v>0</v>
      </c>
      <c r="J561" s="108">
        <f t="shared" si="45"/>
        <v>0</v>
      </c>
      <c r="K561" s="108">
        <f t="shared" si="45"/>
        <v>0</v>
      </c>
      <c r="L561" s="89">
        <f t="shared" si="45"/>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6">SUM(F563:F565)</f>
        <v>0</v>
      </c>
      <c r="G566" s="89">
        <f t="shared" si="46"/>
        <v>0</v>
      </c>
      <c r="H566" s="89">
        <f t="shared" si="46"/>
        <v>0</v>
      </c>
      <c r="I566" s="89">
        <f t="shared" si="46"/>
        <v>0</v>
      </c>
      <c r="J566" s="89">
        <f t="shared" si="46"/>
        <v>0</v>
      </c>
      <c r="K566" s="89">
        <f t="shared" si="46"/>
        <v>0</v>
      </c>
      <c r="L566" s="89">
        <f t="shared" si="46"/>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7">SUM(G568:G570)</f>
        <v>0</v>
      </c>
      <c r="H571" s="193">
        <f t="shared" si="47"/>
        <v>0</v>
      </c>
      <c r="I571" s="193">
        <f t="shared" si="47"/>
        <v>0</v>
      </c>
      <c r="J571" s="193">
        <f t="shared" si="47"/>
        <v>0</v>
      </c>
      <c r="K571" s="193">
        <f t="shared" si="47"/>
        <v>0</v>
      </c>
      <c r="L571" s="193">
        <f t="shared" si="47"/>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8">G561+G566+G571</f>
        <v>0</v>
      </c>
      <c r="H572" s="89">
        <f t="shared" si="48"/>
        <v>0</v>
      </c>
      <c r="I572" s="89">
        <f t="shared" si="48"/>
        <v>0</v>
      </c>
      <c r="J572" s="89">
        <f t="shared" si="48"/>
        <v>0</v>
      </c>
      <c r="K572" s="89">
        <f t="shared" si="48"/>
        <v>0</v>
      </c>
      <c r="L572" s="89">
        <f t="shared" si="48"/>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v>1104380.6000000001</v>
      </c>
      <c r="I576" s="87">
        <f>SUM(F576:H576)</f>
        <v>1104380.6000000001</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9">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9"/>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9"/>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71504.44</v>
      </c>
      <c r="G580" s="18"/>
      <c r="H580" s="18">
        <v>114143.46</v>
      </c>
      <c r="I580" s="87">
        <f t="shared" si="49"/>
        <v>185647.90000000002</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9"/>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9"/>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159582.16</v>
      </c>
      <c r="G583" s="18"/>
      <c r="H583" s="18"/>
      <c r="I583" s="87">
        <f t="shared" si="49"/>
        <v>159582.16</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9"/>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9"/>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9"/>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9"/>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9"/>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207678.21</v>
      </c>
      <c r="I592" s="18"/>
      <c r="J592" s="18">
        <v>31275.98</v>
      </c>
      <c r="K592" s="104">
        <f t="shared" ref="K592:K598" si="50">SUM(H592:J592)</f>
        <v>238954.19</v>
      </c>
      <c r="L592" s="24" t="s">
        <v>288</v>
      </c>
      <c r="M592" s="8"/>
      <c r="N592" s="264"/>
    </row>
    <row r="593" spans="1:14" s="3" customFormat="1" ht="12.2" customHeight="1" x14ac:dyDescent="0.15">
      <c r="A593" s="3" t="s">
        <v>638</v>
      </c>
      <c r="B593" s="75">
        <v>23</v>
      </c>
      <c r="C593" s="75">
        <v>2</v>
      </c>
      <c r="D593" s="2" t="s">
        <v>432</v>
      </c>
      <c r="E593" s="75"/>
      <c r="F593" s="102">
        <v>2722</v>
      </c>
      <c r="G593" s="103" t="s">
        <v>97</v>
      </c>
      <c r="H593" s="18">
        <v>36469.99</v>
      </c>
      <c r="I593" s="18"/>
      <c r="J593" s="18">
        <f>9142.8</f>
        <v>9142.7999999999993</v>
      </c>
      <c r="K593" s="104">
        <f t="shared" si="50"/>
        <v>45612.789999999994</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50"/>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v>3130.5</v>
      </c>
      <c r="I595" s="18"/>
      <c r="J595" s="18"/>
      <c r="K595" s="104">
        <f t="shared" si="50"/>
        <v>3130.5</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4593.9799999999996</v>
      </c>
      <c r="I596" s="18"/>
      <c r="J596" s="18"/>
      <c r="K596" s="104">
        <f t="shared" si="50"/>
        <v>4593.9799999999996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0"/>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0"/>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251872.68</v>
      </c>
      <c r="I599" s="108">
        <f>SUM(I592:I598)</f>
        <v>0</v>
      </c>
      <c r="J599" s="108">
        <f>SUM(J592:J598)</f>
        <v>40418.78</v>
      </c>
      <c r="K599" s="108">
        <f>SUM(K592:K598)</f>
        <v>292291.45999999996</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J353+J272</f>
        <v>169950.01</v>
      </c>
      <c r="I605" s="18"/>
      <c r="J605" s="18"/>
      <c r="K605" s="104">
        <f>SUM(H605:J605)</f>
        <v>169950.01</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169950.01</v>
      </c>
      <c r="I606" s="108">
        <f>SUM(I603:I605)</f>
        <v>0</v>
      </c>
      <c r="J606" s="108">
        <f>SUM(J603:J605)</f>
        <v>0</v>
      </c>
      <c r="K606" s="108">
        <f>SUM(K603:K605)</f>
        <v>169950.01</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1">SUM(F612:F614)</f>
        <v>0</v>
      </c>
      <c r="G615" s="108">
        <f t="shared" si="51"/>
        <v>0</v>
      </c>
      <c r="H615" s="108">
        <f t="shared" si="51"/>
        <v>0</v>
      </c>
      <c r="I615" s="108">
        <f t="shared" si="51"/>
        <v>0</v>
      </c>
      <c r="J615" s="108">
        <f t="shared" si="51"/>
        <v>0</v>
      </c>
      <c r="K615" s="108">
        <f t="shared" si="51"/>
        <v>0</v>
      </c>
      <c r="L615" s="89">
        <f t="shared" si="51"/>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1429476.43</v>
      </c>
      <c r="H618" s="109">
        <f>SUM(F52)</f>
        <v>1429476.43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9514.16</v>
      </c>
      <c r="H619" s="109">
        <f>SUM(G52)</f>
        <v>9514.16</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113040.09999999999</v>
      </c>
      <c r="H620" s="109">
        <f>SUM(H52)</f>
        <v>113040.09999999999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116748.94</v>
      </c>
      <c r="H622" s="109">
        <f>SUM(J52)</f>
        <v>116748.94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517364.66</v>
      </c>
      <c r="H623" s="109">
        <f>F477</f>
        <v>517364.66000000015</v>
      </c>
      <c r="I623" s="121" t="s">
        <v>101</v>
      </c>
      <c r="J623" s="109">
        <f t="shared" ref="J623:J656" si="52">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2"/>
        <v>0</v>
      </c>
      <c r="K624" s="109"/>
      <c r="L624" s="109"/>
      <c r="M624" s="8"/>
    </row>
    <row r="625" spans="1:13" s="3" customFormat="1" ht="12.2" customHeight="1" x14ac:dyDescent="0.15">
      <c r="A625" s="97"/>
      <c r="B625" s="105"/>
      <c r="C625" s="105"/>
      <c r="D625" s="105"/>
      <c r="E625" s="105"/>
      <c r="F625" s="120" t="s">
        <v>867</v>
      </c>
      <c r="G625" s="109">
        <f>H51</f>
        <v>4674.3700000000008</v>
      </c>
      <c r="H625" s="109">
        <f>H477</f>
        <v>4674.3699999999953</v>
      </c>
      <c r="I625" s="121" t="s">
        <v>103</v>
      </c>
      <c r="J625" s="109">
        <f t="shared" si="52"/>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2"/>
        <v>0</v>
      </c>
      <c r="K626" s="109"/>
      <c r="L626" s="109"/>
      <c r="M626" s="8"/>
    </row>
    <row r="627" spans="1:13" s="3" customFormat="1" ht="12.2" customHeight="1" x14ac:dyDescent="0.15">
      <c r="A627" s="22"/>
      <c r="B627" s="105"/>
      <c r="C627" s="105"/>
      <c r="D627" s="105"/>
      <c r="E627" s="105"/>
      <c r="F627" s="120" t="s">
        <v>869</v>
      </c>
      <c r="G627" s="109">
        <f>J51</f>
        <v>116748.94</v>
      </c>
      <c r="H627" s="109">
        <f>J477</f>
        <v>116748.94</v>
      </c>
      <c r="I627" s="140" t="s">
        <v>105</v>
      </c>
      <c r="J627" s="109">
        <f t="shared" si="52"/>
        <v>0</v>
      </c>
      <c r="K627" s="85"/>
      <c r="L627" s="88"/>
      <c r="M627" s="8"/>
    </row>
    <row r="628" spans="1:13" s="3" customFormat="1" ht="12.2" customHeight="1" x14ac:dyDescent="0.15">
      <c r="A628" s="22"/>
      <c r="B628" s="105"/>
      <c r="C628" s="105"/>
      <c r="D628" s="105"/>
      <c r="E628" s="105"/>
      <c r="F628" s="120" t="s">
        <v>658</v>
      </c>
      <c r="G628" s="109">
        <f>F194</f>
        <v>5819138.1600000001</v>
      </c>
      <c r="H628" s="104">
        <f>SUM(F469)</f>
        <v>5819138.1600000001</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94409.19</v>
      </c>
      <c r="H629" s="104">
        <f>SUM(G469)</f>
        <v>94409.19</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313274.23</v>
      </c>
      <c r="H630" s="104">
        <f>SUM(H469)</f>
        <v>313274.23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5267.81</v>
      </c>
      <c r="H632" s="104">
        <f>SUM(J469)</f>
        <v>5267.81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5909567.8199999994</v>
      </c>
      <c r="H633" s="104">
        <f>SUM(F473)</f>
        <v>5909567.8200000003</v>
      </c>
      <c r="I633" s="140" t="s">
        <v>111</v>
      </c>
      <c r="J633" s="109">
        <f t="shared" si="52"/>
        <v>0</v>
      </c>
      <c r="K633" s="85"/>
      <c r="L633" s="88"/>
      <c r="M633" s="8"/>
    </row>
    <row r="634" spans="1:13" s="3" customFormat="1" ht="12.2" customHeight="1" x14ac:dyDescent="0.15">
      <c r="A634" s="22"/>
      <c r="B634" s="105"/>
      <c r="C634" s="105"/>
      <c r="D634" s="105"/>
      <c r="E634" s="105"/>
      <c r="F634" s="120" t="s">
        <v>395</v>
      </c>
      <c r="G634" s="109">
        <f>SUM(L353)</f>
        <v>313274.23</v>
      </c>
      <c r="H634" s="104">
        <f>SUM(H473)</f>
        <v>313274.23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23324.1</v>
      </c>
      <c r="H635" s="104">
        <f>I370</f>
        <v>23324.1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94409.19</v>
      </c>
      <c r="H636" s="104">
        <f>SUM(G473)</f>
        <v>94409.19</v>
      </c>
      <c r="I636" s="140" t="s">
        <v>114</v>
      </c>
      <c r="J636" s="109">
        <f t="shared" si="52"/>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2"/>
        <v>0</v>
      </c>
      <c r="K637" s="85"/>
      <c r="L637" s="88"/>
      <c r="M637" s="8"/>
    </row>
    <row r="638" spans="1:13" s="3" customFormat="1" ht="12.2" customHeight="1" x14ac:dyDescent="0.15">
      <c r="A638" s="161"/>
      <c r="B638" s="162"/>
      <c r="C638" s="162"/>
      <c r="D638" s="162"/>
      <c r="E638" s="162"/>
      <c r="F638" s="163" t="s">
        <v>477</v>
      </c>
      <c r="G638" s="151">
        <f>SUM(L409)</f>
        <v>5267.81</v>
      </c>
      <c r="H638" s="164">
        <f>SUM(J469)</f>
        <v>5267.81</v>
      </c>
      <c r="I638" s="165" t="s">
        <v>110</v>
      </c>
      <c r="J638" s="151">
        <f t="shared" si="52"/>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2"/>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2"/>
        <v>0</v>
      </c>
      <c r="K640" s="85"/>
      <c r="L640" s="88"/>
      <c r="M640" s="8"/>
    </row>
    <row r="641" spans="1:13" s="3" customFormat="1" ht="12.2" customHeight="1" x14ac:dyDescent="0.15">
      <c r="A641" s="22"/>
      <c r="B641" s="105"/>
      <c r="C641" s="105"/>
      <c r="D641" s="105"/>
      <c r="E641" s="105"/>
      <c r="F641" s="120" t="s">
        <v>119</v>
      </c>
      <c r="G641" s="109">
        <f>SUM(G447)</f>
        <v>116748.94</v>
      </c>
      <c r="H641" s="104">
        <f>SUM(G462)</f>
        <v>116748.94</v>
      </c>
      <c r="I641" s="140" t="s">
        <v>842</v>
      </c>
      <c r="J641" s="109">
        <f t="shared" si="52"/>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2"/>
        <v>0</v>
      </c>
      <c r="K642" s="85"/>
      <c r="L642" s="88"/>
      <c r="M642" s="8"/>
    </row>
    <row r="643" spans="1:13" s="3" customFormat="1" ht="12.2" customHeight="1" x14ac:dyDescent="0.15">
      <c r="A643" s="22"/>
      <c r="B643" s="105"/>
      <c r="C643" s="105"/>
      <c r="D643" s="105"/>
      <c r="E643" s="105"/>
      <c r="F643" s="120" t="s">
        <v>121</v>
      </c>
      <c r="G643" s="109">
        <f>SUM(I447)</f>
        <v>116748.94</v>
      </c>
      <c r="H643" s="104">
        <f>SUM(I462)</f>
        <v>116748.94</v>
      </c>
      <c r="I643" s="140" t="s">
        <v>844</v>
      </c>
      <c r="J643" s="109">
        <f t="shared" si="52"/>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2"/>
        <v>0</v>
      </c>
      <c r="K644" s="85"/>
      <c r="L644" s="88"/>
      <c r="M644" s="8"/>
    </row>
    <row r="645" spans="1:13" s="3" customFormat="1" ht="12.2" customHeight="1" x14ac:dyDescent="0.15">
      <c r="A645" s="22"/>
      <c r="B645" s="105"/>
      <c r="C645" s="105"/>
      <c r="D645" s="105"/>
      <c r="E645" s="105"/>
      <c r="F645" s="120" t="s">
        <v>663</v>
      </c>
      <c r="G645" s="109">
        <f>J96</f>
        <v>1162.76</v>
      </c>
      <c r="H645" s="104">
        <f>H409</f>
        <v>1162.76</v>
      </c>
      <c r="I645" s="140" t="s">
        <v>480</v>
      </c>
      <c r="J645" s="109">
        <f t="shared" si="52"/>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2"/>
        <v>0</v>
      </c>
      <c r="K646" s="85"/>
      <c r="L646" s="88"/>
      <c r="M646" s="8"/>
    </row>
    <row r="647" spans="1:13" s="3" customFormat="1" ht="12.2" customHeight="1" x14ac:dyDescent="0.15">
      <c r="A647" s="22"/>
      <c r="B647" s="105"/>
      <c r="C647" s="105"/>
      <c r="D647" s="105"/>
      <c r="E647" s="105"/>
      <c r="F647" s="120" t="s">
        <v>662</v>
      </c>
      <c r="G647" s="109">
        <f>J194</f>
        <v>5267.81</v>
      </c>
      <c r="H647" s="104">
        <f>L409</f>
        <v>5267.81</v>
      </c>
      <c r="I647" s="140" t="s">
        <v>477</v>
      </c>
      <c r="J647" s="109">
        <f t="shared" si="52"/>
        <v>0</v>
      </c>
      <c r="K647" s="85"/>
      <c r="L647" s="88"/>
      <c r="M647" s="8"/>
    </row>
    <row r="648" spans="1:13" s="3" customFormat="1" ht="12.2" customHeight="1" x14ac:dyDescent="0.15">
      <c r="A648" s="22"/>
      <c r="B648" s="105"/>
      <c r="C648" s="105"/>
      <c r="D648" s="105"/>
      <c r="E648" s="105"/>
      <c r="F648" s="120" t="s">
        <v>51</v>
      </c>
      <c r="G648" s="109">
        <f>K599</f>
        <v>292291.45999999996</v>
      </c>
      <c r="H648" s="104">
        <f>L209+L227+L245</f>
        <v>292291.45999999996</v>
      </c>
      <c r="I648" s="140" t="s">
        <v>396</v>
      </c>
      <c r="J648" s="109">
        <f t="shared" si="52"/>
        <v>0</v>
      </c>
      <c r="K648" s="85"/>
      <c r="L648" s="88"/>
      <c r="M648" s="8"/>
    </row>
    <row r="649" spans="1:13" s="3" customFormat="1" ht="12.2" customHeight="1" x14ac:dyDescent="0.15">
      <c r="A649" s="22"/>
      <c r="B649" s="105"/>
      <c r="C649" s="105"/>
      <c r="D649" s="105"/>
      <c r="E649" s="105"/>
      <c r="F649" s="120" t="s">
        <v>52</v>
      </c>
      <c r="G649" s="109">
        <f>K606</f>
        <v>169950.01</v>
      </c>
      <c r="H649" s="104">
        <f>(J258+J339)-(J256+J337)</f>
        <v>169950.01</v>
      </c>
      <c r="I649" s="140" t="s">
        <v>699</v>
      </c>
      <c r="J649" s="109">
        <f t="shared" si="52"/>
        <v>0</v>
      </c>
      <c r="K649" s="85"/>
      <c r="L649" s="88"/>
      <c r="M649" s="8"/>
    </row>
    <row r="650" spans="1:13" s="3" customFormat="1" ht="12.2" customHeight="1" x14ac:dyDescent="0.15">
      <c r="A650" s="22"/>
      <c r="B650" s="105"/>
      <c r="C650" s="105"/>
      <c r="D650" s="105"/>
      <c r="E650" s="105"/>
      <c r="F650" s="120" t="s">
        <v>387</v>
      </c>
      <c r="G650" s="109">
        <f>L209</f>
        <v>251872.68</v>
      </c>
      <c r="H650" s="104">
        <f>H599</f>
        <v>251872.68</v>
      </c>
      <c r="I650" s="140" t="s">
        <v>388</v>
      </c>
      <c r="J650" s="109">
        <f t="shared" si="52"/>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2"/>
        <v>0</v>
      </c>
      <c r="K651" s="85"/>
      <c r="L651" s="88"/>
      <c r="M651" s="8"/>
    </row>
    <row r="652" spans="1:13" s="3" customFormat="1" ht="12.2" customHeight="1" x14ac:dyDescent="0.15">
      <c r="A652" s="22"/>
      <c r="B652" s="105"/>
      <c r="C652" s="105"/>
      <c r="D652" s="105"/>
      <c r="E652" s="105"/>
      <c r="F652" s="120" t="s">
        <v>393</v>
      </c>
      <c r="G652" s="109">
        <f>L245</f>
        <v>40418.78</v>
      </c>
      <c r="H652" s="104">
        <f>J599</f>
        <v>40418.78</v>
      </c>
      <c r="I652" s="140" t="s">
        <v>390</v>
      </c>
      <c r="J652" s="109">
        <f t="shared" si="52"/>
        <v>0</v>
      </c>
      <c r="K652" s="85"/>
      <c r="L652" s="88"/>
      <c r="M652" s="8"/>
    </row>
    <row r="653" spans="1:13" s="3" customFormat="1" ht="12.2" customHeight="1" x14ac:dyDescent="0.15">
      <c r="A653" s="22"/>
      <c r="B653" s="105"/>
      <c r="C653" s="105"/>
      <c r="D653" s="105"/>
      <c r="E653" s="105"/>
      <c r="F653" s="120" t="s">
        <v>665</v>
      </c>
      <c r="G653" s="109">
        <f>G180+G182</f>
        <v>51008.82</v>
      </c>
      <c r="H653" s="104">
        <f>K264+K346</f>
        <v>51008.82</v>
      </c>
      <c r="I653" s="140" t="s">
        <v>397</v>
      </c>
      <c r="J653" s="109">
        <f t="shared" si="52"/>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2"/>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2"/>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2"/>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4982872.5200000005</v>
      </c>
      <c r="G661" s="19">
        <f>(L230+L310+L360)</f>
        <v>0</v>
      </c>
      <c r="H661" s="19">
        <f>(L248+L329+L361)</f>
        <v>1271081.05</v>
      </c>
      <c r="I661" s="19">
        <f>SUM(F661:H661)</f>
        <v>6253953.5700000003</v>
      </c>
      <c r="J661" s="13"/>
      <c r="K661" s="13"/>
      <c r="L661" s="13"/>
      <c r="M661" s="9"/>
    </row>
    <row r="662" spans="1:13" s="3" customFormat="1" ht="12.2" customHeight="1" x14ac:dyDescent="0.2">
      <c r="A662" s="1" t="s">
        <v>127</v>
      </c>
      <c r="F662" s="19">
        <f>(L359/IF(SUM(L359:L361)=0,1,SUM(L359:L361))*(SUM(G97:G110)))</f>
        <v>2388.6999999999998</v>
      </c>
      <c r="G662" s="19">
        <f>(L360/IF(SUM(L359:L361)=0,1,SUM(L359:L361))*(SUM(G97:G110)))</f>
        <v>0</v>
      </c>
      <c r="H662" s="19">
        <f>(L361/IF(SUM(L359:L361)=0,1,SUM(L359:L361))*(SUM(G97:G110)))</f>
        <v>0</v>
      </c>
      <c r="I662" s="19">
        <f>SUM(F662:H662)</f>
        <v>2388.6999999999998</v>
      </c>
      <c r="J662"/>
      <c r="K662" s="13"/>
      <c r="L662" s="13"/>
      <c r="M662" s="8"/>
    </row>
    <row r="663" spans="1:13" s="3" customFormat="1" ht="12.2" customHeight="1" x14ac:dyDescent="0.2">
      <c r="A663" s="1" t="s">
        <v>128</v>
      </c>
      <c r="F663" s="19">
        <f>(L209+L288)-(J209+J288)</f>
        <v>251872.68</v>
      </c>
      <c r="G663" s="19">
        <f>(L227+L307)-(J227+J307)</f>
        <v>0</v>
      </c>
      <c r="H663" s="19">
        <f>(L245+L326)-(J245+J326)</f>
        <v>40418.78</v>
      </c>
      <c r="I663" s="19">
        <f>SUM(F663:H663)</f>
        <v>292291.45999999996</v>
      </c>
      <c r="J663"/>
      <c r="K663" s="13"/>
      <c r="L663" s="13"/>
      <c r="M663" s="9"/>
    </row>
    <row r="664" spans="1:13" s="3" customFormat="1" ht="12.2" customHeight="1" x14ac:dyDescent="0.15">
      <c r="A664" s="198" t="s">
        <v>129</v>
      </c>
      <c r="B664" s="169"/>
      <c r="C664" s="169"/>
      <c r="D664" s="169"/>
      <c r="E664" s="169"/>
      <c r="F664" s="199">
        <f>SUM(F576:F588)+SUM(H603:H605)+SUM(L612)</f>
        <v>401036.61</v>
      </c>
      <c r="G664" s="199">
        <f>SUM(G576:G588)+SUM(I603:I605)+L613</f>
        <v>0</v>
      </c>
      <c r="H664" s="199">
        <f>SUM(H576:H588)+SUM(J603:J605)+L614</f>
        <v>1218524.06</v>
      </c>
      <c r="I664" s="19">
        <f>SUM(F664:H664)</f>
        <v>1619560.67</v>
      </c>
      <c r="J664" s="13"/>
      <c r="K664" s="13"/>
      <c r="L664" s="13"/>
      <c r="M664" s="9"/>
    </row>
    <row r="665" spans="1:13" s="3" customFormat="1" ht="12.2" customHeight="1" x14ac:dyDescent="0.15">
      <c r="A665" s="1" t="s">
        <v>130</v>
      </c>
      <c r="F665" s="19">
        <f>F661-SUM(F662:F664)</f>
        <v>4327574.53</v>
      </c>
      <c r="G665" s="19">
        <f>G661-SUM(G662:G664)</f>
        <v>0</v>
      </c>
      <c r="H665" s="19">
        <f>H661-SUM(H662:H664)</f>
        <v>12138.209999999963</v>
      </c>
      <c r="I665" s="19">
        <f>I661-SUM(I662:I664)</f>
        <v>4339712.74</v>
      </c>
      <c r="J665" s="13"/>
      <c r="K665" s="13"/>
      <c r="L665" s="13"/>
      <c r="M665" s="8"/>
    </row>
    <row r="666" spans="1:13" s="3" customFormat="1" ht="12.2" customHeight="1" x14ac:dyDescent="0.25">
      <c r="A666" s="1" t="s">
        <v>131</v>
      </c>
      <c r="F666" s="359">
        <v>198.48</v>
      </c>
      <c r="G666" s="359">
        <v>0</v>
      </c>
      <c r="H666" s="359">
        <v>0</v>
      </c>
      <c r="I666" s="19">
        <f>SUM(F666:H666)</f>
        <v>198.48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21803.58</v>
      </c>
      <c r="G668" s="19" t="e">
        <f>ROUND(G665/G666,2)</f>
        <v>#DIV/0!</v>
      </c>
      <c r="H668" s="19" t="e">
        <f>ROUND(H665/H666,2)</f>
        <v>#DIV/0!</v>
      </c>
      <c r="I668" s="19">
        <f>ROUND(I665/I666,2)</f>
        <v>21864.74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-12138.21</v>
      </c>
      <c r="I670" s="19">
        <f>SUM(F670:H670)</f>
        <v>-12138.21</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21803.58</v>
      </c>
      <c r="G673" s="19" t="e">
        <f>ROUND((G665+G670)/(G666+G671),2)</f>
        <v>#DIV/0!</v>
      </c>
      <c r="H673" s="19" t="e">
        <f>ROUND((H665+H670)/(H666+H671),2)</f>
        <v>#DIV/0!</v>
      </c>
      <c r="I673" s="19">
        <f>ROUND((I665+I670)/(I666+I671),2)</f>
        <v>21803.58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view="pageBreakPreview" topLeftCell="B1" zoomScale="60" zoomScaleNormal="100" workbookViewId="0">
      <selection activeCell="C26" sqref="C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93390.3</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64400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100471.02</v>
      </c>
      <c r="F22" s="346"/>
    </row>
    <row r="23" spans="2:8" x14ac:dyDescent="0.25">
      <c r="B23" s="346"/>
      <c r="C23" s="346"/>
      <c r="D23" s="346"/>
      <c r="E23" s="346"/>
      <c r="F23" s="346"/>
    </row>
    <row r="24" spans="2:8" ht="26.25" customHeight="1" x14ac:dyDescent="0.25">
      <c r="B24" s="346"/>
      <c r="C24" s="348" t="s">
        <v>1661</v>
      </c>
      <c r="D24" s="346"/>
      <c r="E24" s="341">
        <v>13719</v>
      </c>
      <c r="F24" s="346"/>
    </row>
    <row r="25" spans="2:8" ht="18" x14ac:dyDescent="0.25">
      <c r="B25" s="346"/>
      <c r="C25" s="349"/>
      <c r="D25" s="346"/>
      <c r="E25" s="346"/>
      <c r="F25" s="346"/>
    </row>
    <row r="26" spans="2:8" ht="27.75" customHeight="1" x14ac:dyDescent="0.25">
      <c r="B26" s="346"/>
      <c r="C26" s="348" t="s">
        <v>1662</v>
      </c>
      <c r="D26" s="346"/>
      <c r="E26" s="341">
        <v>22085.02</v>
      </c>
      <c r="F26" s="346"/>
    </row>
    <row r="27" spans="2:8" x14ac:dyDescent="0.25">
      <c r="B27" s="346"/>
      <c r="C27" s="348"/>
      <c r="D27" s="346"/>
      <c r="E27" s="346"/>
      <c r="F27" s="346"/>
    </row>
    <row r="28" spans="2:8" ht="15.75" customHeight="1" x14ac:dyDescent="0.25">
      <c r="B28" s="346"/>
      <c r="C28" s="348" t="s">
        <v>1663</v>
      </c>
      <c r="D28" s="346"/>
      <c r="E28" s="342">
        <v>38093.78</v>
      </c>
      <c r="F28" s="346"/>
    </row>
    <row r="29" spans="2:8" x14ac:dyDescent="0.25">
      <c r="B29" s="346"/>
      <c r="C29" s="346"/>
      <c r="D29" s="346"/>
      <c r="E29" s="346"/>
      <c r="F29" s="346"/>
    </row>
    <row r="30" spans="2:8" ht="16.5" customHeight="1" x14ac:dyDescent="0.25">
      <c r="B30" s="346"/>
      <c r="C30" s="348" t="s">
        <v>1664</v>
      </c>
      <c r="D30" s="346"/>
      <c r="E30" s="341">
        <f>14931.07+4294.43</f>
        <v>19225.5</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view="pageBreakPreview" zoomScale="60" zoomScaleNormal="100" workbookViewId="0">
      <selection activeCell="K624" activeCellId="1" sqref="K639 K624"/>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CHICHESTER SCHOOL DISTRICT</v>
      </c>
      <c r="C5" s="363"/>
      <c r="D5" s="363"/>
      <c r="E5" s="363"/>
      <c r="F5" s="363"/>
    </row>
    <row r="8" spans="1:9" ht="18" x14ac:dyDescent="0.25">
      <c r="A8" s="317" t="s">
        <v>1576</v>
      </c>
      <c r="F8" s="324" t="s">
        <v>1594</v>
      </c>
    </row>
    <row r="9" spans="1:9" ht="15" x14ac:dyDescent="0.2">
      <c r="A9" s="315" t="s">
        <v>1577</v>
      </c>
      <c r="B9" s="318">
        <f>'DOE25'!G97</f>
        <v>2012.29</v>
      </c>
      <c r="F9" s="315" t="s">
        <v>1590</v>
      </c>
    </row>
    <row r="10" spans="1:9" ht="15" x14ac:dyDescent="0.2">
      <c r="A10" s="315" t="s">
        <v>1578</v>
      </c>
      <c r="B10" s="318">
        <f>'DOE25'!G112-'DOE25'!G97</f>
        <v>376.40999999999985</v>
      </c>
      <c r="F10" s="315" t="s">
        <v>1591</v>
      </c>
    </row>
    <row r="11" spans="1:9" ht="15" x14ac:dyDescent="0.2">
      <c r="A11" s="315" t="s">
        <v>1579</v>
      </c>
      <c r="B11" s="318">
        <f>'DOE25'!G140</f>
        <v>107.38</v>
      </c>
      <c r="F11" s="315" t="s">
        <v>1592</v>
      </c>
    </row>
    <row r="12" spans="1:9" ht="15" x14ac:dyDescent="0.2">
      <c r="A12" s="315" t="s">
        <v>1580</v>
      </c>
      <c r="B12" s="318">
        <f>'DOE25'!G170</f>
        <v>40904.29</v>
      </c>
      <c r="F12" s="315" t="s">
        <v>1593</v>
      </c>
    </row>
    <row r="13" spans="1:9" ht="15" x14ac:dyDescent="0.2">
      <c r="A13" s="315" t="s">
        <v>1581</v>
      </c>
      <c r="B13" s="318">
        <f>'DOE25'!G193-'DOE25'!G180</f>
        <v>0</v>
      </c>
      <c r="F13" s="315" t="s">
        <v>1603</v>
      </c>
    </row>
    <row r="14" spans="1:9" ht="18" x14ac:dyDescent="0.25">
      <c r="A14" s="317" t="s">
        <v>732</v>
      </c>
      <c r="B14" s="319">
        <f>SUM(B9:B13)</f>
        <v>43400.37</v>
      </c>
    </row>
    <row r="16" spans="1:9" ht="18" x14ac:dyDescent="0.25">
      <c r="A16" s="317" t="s">
        <v>786</v>
      </c>
      <c r="F16" s="324" t="s">
        <v>1595</v>
      </c>
    </row>
    <row r="17" spans="1:6" ht="15" x14ac:dyDescent="0.2">
      <c r="A17" s="315" t="s">
        <v>1582</v>
      </c>
      <c r="B17" s="318">
        <f>'DOE25'!L363-'DOE25'!L362</f>
        <v>94409.19</v>
      </c>
      <c r="F17" s="315" t="s">
        <v>1596</v>
      </c>
    </row>
    <row r="18" spans="1:6" ht="15" x14ac:dyDescent="0.2">
      <c r="A18" s="315" t="s">
        <v>1583</v>
      </c>
      <c r="B18" s="328"/>
      <c r="F18" s="324" t="s">
        <v>1620</v>
      </c>
    </row>
    <row r="19" spans="1:6" ht="18" x14ac:dyDescent="0.25">
      <c r="A19" s="317" t="s">
        <v>725</v>
      </c>
      <c r="B19" s="319">
        <f>SUM(B17:B18)</f>
        <v>94409.19</v>
      </c>
    </row>
    <row r="21" spans="1:6" ht="18.75" thickBot="1" x14ac:dyDescent="0.3">
      <c r="A21" s="317" t="s">
        <v>1584</v>
      </c>
    </row>
    <row r="22" spans="1:6" ht="18.75" thickTop="1" x14ac:dyDescent="0.25">
      <c r="A22" s="317" t="s">
        <v>1585</v>
      </c>
      <c r="B22" s="323">
        <f>B14-B19</f>
        <v>-51008.82</v>
      </c>
      <c r="F22" s="315" t="s">
        <v>1597</v>
      </c>
    </row>
    <row r="26" spans="1:6" ht="18" x14ac:dyDescent="0.25">
      <c r="A26" s="317" t="s">
        <v>186</v>
      </c>
    </row>
    <row r="27" spans="1:6" ht="15" x14ac:dyDescent="0.2">
      <c r="A27" s="315" t="s">
        <v>1586</v>
      </c>
      <c r="B27" s="318">
        <f>'DOE25'!G180</f>
        <v>51008.82</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3776.71</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K624" activeCellId="1" sqref="K639 K624"/>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CHICHESTER SCHOOL DISTRICT</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1347246.48</v>
      </c>
      <c r="C9" s="229">
        <f>'DOE25'!G198+'DOE25'!G216+'DOE25'!G234+'DOE25'!G277+'DOE25'!G296+'DOE25'!G315</f>
        <v>612637.72</v>
      </c>
    </row>
    <row r="10" spans="1:3" x14ac:dyDescent="0.2">
      <c r="A10" t="s">
        <v>775</v>
      </c>
      <c r="B10" s="240">
        <v>1254622.0900000001</v>
      </c>
      <c r="C10" s="240">
        <v>570140.41</v>
      </c>
    </row>
    <row r="11" spans="1:3" x14ac:dyDescent="0.2">
      <c r="A11" t="s">
        <v>776</v>
      </c>
      <c r="B11" s="240">
        <v>29642.71</v>
      </c>
      <c r="C11" s="240">
        <v>13600.47</v>
      </c>
    </row>
    <row r="12" spans="1:3" x14ac:dyDescent="0.2">
      <c r="A12" t="s">
        <v>777</v>
      </c>
      <c r="B12" s="240">
        <v>62981.68</v>
      </c>
      <c r="C12" s="240">
        <v>28896.84</v>
      </c>
    </row>
    <row r="13" spans="1:3" x14ac:dyDescent="0.2">
      <c r="A13" t="str">
        <f>IF(B9=B13,IF(C9=C13,"Check Total OK","Check Total Error"),"Check Total Error")</f>
        <v>Check Total OK</v>
      </c>
      <c r="B13" s="231">
        <f>SUM(B10:B12)</f>
        <v>1347246.48</v>
      </c>
      <c r="C13" s="231">
        <f>SUM(C10:C12)</f>
        <v>612637.72</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458926.21</v>
      </c>
      <c r="C18" s="229">
        <f>'DOE25'!G199+'DOE25'!G217+'DOE25'!G235+'DOE25'!G278+'DOE25'!G297+'DOE25'!G316</f>
        <v>209188.96</v>
      </c>
    </row>
    <row r="19" spans="1:3" x14ac:dyDescent="0.2">
      <c r="A19" t="s">
        <v>775</v>
      </c>
      <c r="B19" s="240">
        <v>292482.44</v>
      </c>
      <c r="C19" s="240">
        <v>133320.12</v>
      </c>
    </row>
    <row r="20" spans="1:3" x14ac:dyDescent="0.2">
      <c r="A20" t="s">
        <v>776</v>
      </c>
      <c r="B20" s="240">
        <v>162710.68</v>
      </c>
      <c r="C20" s="240">
        <v>74167.210000000006</v>
      </c>
    </row>
    <row r="21" spans="1:3" x14ac:dyDescent="0.2">
      <c r="A21" t="s">
        <v>777</v>
      </c>
      <c r="B21" s="240">
        <v>3733.09</v>
      </c>
      <c r="C21" s="240">
        <v>1701.63</v>
      </c>
    </row>
    <row r="22" spans="1:3" x14ac:dyDescent="0.2">
      <c r="A22" t="str">
        <f>IF(B18=B22,IF(C18=C22,"Check Total OK","Check Total Error"),"Check Total Error")</f>
        <v>Check Total OK</v>
      </c>
      <c r="B22" s="231">
        <f>SUM(B19:B21)</f>
        <v>458926.21</v>
      </c>
      <c r="C22" s="231">
        <f>SUM(C19:C21)</f>
        <v>209188.96000000002</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27044</v>
      </c>
      <c r="C36" s="235">
        <f>'DOE25'!G201+'DOE25'!G219+'DOE25'!G237+'DOE25'!G280+'DOE25'!G299+'DOE25'!G318</f>
        <v>12388.27</v>
      </c>
    </row>
    <row r="37" spans="1:3" x14ac:dyDescent="0.2">
      <c r="A37" t="s">
        <v>775</v>
      </c>
      <c r="B37" s="240">
        <v>27044</v>
      </c>
      <c r="C37" s="240">
        <v>12388.27</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27044</v>
      </c>
      <c r="C40" s="231">
        <f>SUM(C37:C39)</f>
        <v>12388.27</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K624" activeCellId="1" sqref="K639 K624"/>
      <selection pane="bottomLeft" activeCell="K624" activeCellId="1" sqref="K639 K62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CHICHESTER SCHOOL DISTRICT</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4175505.6900000004</v>
      </c>
      <c r="D5" s="20">
        <f>SUM('DOE25'!L198:L201)+SUM('DOE25'!L216:L219)+SUM('DOE25'!L234:L237)-F5-G5-H5</f>
        <v>4109659.5700000008</v>
      </c>
      <c r="E5" s="243"/>
      <c r="F5" s="244"/>
      <c r="G5" s="53">
        <f>SUM('DOE25'!J198:J201)+SUM('DOE25'!J216:J219)+SUM('DOE25'!J234:J237)</f>
        <v>60902.34</v>
      </c>
      <c r="H5" s="53">
        <f>SUM('DOE25'!K198:K201)+SUM('DOE25'!K216:K219)+SUM('DOE25'!K234:K237)</f>
        <v>4943.78</v>
      </c>
      <c r="I5" s="254"/>
    </row>
    <row r="6" spans="1:9" x14ac:dyDescent="0.2">
      <c r="A6" s="32">
        <v>2100</v>
      </c>
      <c r="B6" t="s">
        <v>796</v>
      </c>
      <c r="C6" s="273">
        <f t="shared" si="0"/>
        <v>370440.5</v>
      </c>
      <c r="D6" s="20">
        <f>'DOE25'!L203+'DOE25'!L221+'DOE25'!L239-F6-G6-H6</f>
        <v>325255.94</v>
      </c>
      <c r="E6" s="243"/>
      <c r="F6" s="244">
        <v>44600.57</v>
      </c>
      <c r="G6" s="53">
        <f>'DOE25'!J203+'DOE25'!J221+'DOE25'!J239</f>
        <v>385</v>
      </c>
      <c r="H6" s="53">
        <f>'DOE25'!K203+'DOE25'!K221+'DOE25'!K239</f>
        <v>198.99</v>
      </c>
      <c r="I6" s="254"/>
    </row>
    <row r="7" spans="1:9" x14ac:dyDescent="0.2">
      <c r="A7" s="32">
        <v>2200</v>
      </c>
      <c r="B7" t="s">
        <v>821</v>
      </c>
      <c r="C7" s="273">
        <f t="shared" si="0"/>
        <v>182452.75</v>
      </c>
      <c r="D7" s="20">
        <f>'DOE25'!L204+'DOE25'!L222+'DOE25'!L240-F7-G7-H7</f>
        <v>182452.75</v>
      </c>
      <c r="E7" s="243"/>
      <c r="F7" s="244"/>
      <c r="G7" s="53">
        <f>'DOE25'!J204+'DOE25'!J222+'DOE25'!J240</f>
        <v>0</v>
      </c>
      <c r="H7" s="53">
        <f>'DOE25'!K204+'DOE25'!K222+'DOE25'!K240</f>
        <v>0</v>
      </c>
      <c r="I7" s="254"/>
    </row>
    <row r="8" spans="1:9" x14ac:dyDescent="0.2">
      <c r="A8" s="32">
        <v>2300</v>
      </c>
      <c r="B8" t="s">
        <v>797</v>
      </c>
      <c r="C8" s="273">
        <f t="shared" si="0"/>
        <v>152362.19</v>
      </c>
      <c r="D8" s="243"/>
      <c r="E8" s="20">
        <f>'DOE25'!L205+'DOE25'!L223+'DOE25'!L241-F8-G8-H8-D9-D11</f>
        <v>148808.68</v>
      </c>
      <c r="F8" s="244"/>
      <c r="G8" s="53">
        <f>'DOE25'!J205+'DOE25'!J223+'DOE25'!J241</f>
        <v>0</v>
      </c>
      <c r="H8" s="53">
        <f>'DOE25'!K205+'DOE25'!K223+'DOE25'!K241</f>
        <v>3553.51</v>
      </c>
      <c r="I8" s="254"/>
    </row>
    <row r="9" spans="1:9" ht="14.25" x14ac:dyDescent="0.2">
      <c r="A9" s="32">
        <v>2310</v>
      </c>
      <c r="B9" s="185" t="s">
        <v>888</v>
      </c>
      <c r="C9" s="273">
        <f t="shared" si="0"/>
        <v>11171.54</v>
      </c>
      <c r="D9" s="244">
        <v>11171.54</v>
      </c>
      <c r="E9" s="243"/>
      <c r="F9" s="251"/>
      <c r="G9" s="251"/>
      <c r="H9" s="251"/>
      <c r="I9" s="254"/>
    </row>
    <row r="10" spans="1:9" ht="14.25" x14ac:dyDescent="0.2">
      <c r="A10" s="32">
        <v>2317</v>
      </c>
      <c r="B10" s="185" t="s">
        <v>889</v>
      </c>
      <c r="C10" s="273">
        <f t="shared" si="0"/>
        <v>7716</v>
      </c>
      <c r="D10" s="243"/>
      <c r="E10" s="244">
        <v>7716</v>
      </c>
      <c r="F10" s="251"/>
      <c r="G10" s="251"/>
      <c r="H10" s="251"/>
      <c r="I10" s="254"/>
    </row>
    <row r="11" spans="1:9" ht="14.25" x14ac:dyDescent="0.2">
      <c r="A11" s="32">
        <v>2321</v>
      </c>
      <c r="B11" s="185" t="s">
        <v>890</v>
      </c>
      <c r="C11" s="273">
        <f t="shared" si="0"/>
        <v>38094.769999999997</v>
      </c>
      <c r="D11" s="244">
        <v>38094.769999999997</v>
      </c>
      <c r="E11" s="243"/>
      <c r="F11" s="251"/>
      <c r="G11" s="251"/>
      <c r="H11" s="251"/>
      <c r="I11" s="254"/>
    </row>
    <row r="12" spans="1:9" x14ac:dyDescent="0.2">
      <c r="A12" s="32">
        <v>2400</v>
      </c>
      <c r="B12" t="s">
        <v>711</v>
      </c>
      <c r="C12" s="273">
        <f t="shared" si="0"/>
        <v>206618.94</v>
      </c>
      <c r="D12" s="20">
        <f>'DOE25'!L206+'DOE25'!L224+'DOE25'!L242-F12-G12-H12</f>
        <v>205275.69</v>
      </c>
      <c r="E12" s="243"/>
      <c r="F12" s="244"/>
      <c r="G12" s="53">
        <f>'DOE25'!J206+'DOE25'!J224+'DOE25'!J242</f>
        <v>548.25</v>
      </c>
      <c r="H12" s="53">
        <f>'DOE25'!K206+'DOE25'!K224+'DOE25'!K242</f>
        <v>795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417332.31</v>
      </c>
      <c r="D14" s="20">
        <f>'DOE25'!L208+'DOE25'!L226+'DOE25'!L244-F14-G14-H14</f>
        <v>388634.94</v>
      </c>
      <c r="E14" s="243"/>
      <c r="F14" s="244">
        <f>13113.5+3538+6972+1672.73</f>
        <v>25296.23</v>
      </c>
      <c r="G14" s="53">
        <f>'DOE25'!J208+'DOE25'!J226+'DOE25'!J244</f>
        <v>3401.14</v>
      </c>
      <c r="H14" s="53">
        <f>'DOE25'!K208+'DOE25'!K226+'DOE25'!K244</f>
        <v>0</v>
      </c>
      <c r="I14" s="254"/>
    </row>
    <row r="15" spans="1:9" x14ac:dyDescent="0.2">
      <c r="A15" s="32">
        <v>2700</v>
      </c>
      <c r="B15" t="s">
        <v>799</v>
      </c>
      <c r="C15" s="273">
        <f t="shared" si="0"/>
        <v>292291.45999999996</v>
      </c>
      <c r="D15" s="20">
        <f>'DOE25'!L209+'DOE25'!L227+'DOE25'!L245-F15-G15-H15</f>
        <v>78337.459999999963</v>
      </c>
      <c r="E15" s="243"/>
      <c r="F15" s="244">
        <v>213954</v>
      </c>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0</v>
      </c>
      <c r="D22" s="243"/>
      <c r="E22" s="243"/>
      <c r="F22" s="243"/>
      <c r="G22" s="53">
        <f>'DOE25'!L256+'DOE25'!L337</f>
        <v>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3"/>
      <c r="E25" s="243"/>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73936.08</v>
      </c>
      <c r="D29" s="281">
        <f>'DOE25'!L359+'DOE25'!L360+'DOE25'!L361-'DOE25'!I368-F29-G29-H29</f>
        <v>70936.08</v>
      </c>
      <c r="E29" s="243"/>
      <c r="F29" s="244"/>
      <c r="G29" s="53">
        <f>'DOE25'!J359+'DOE25'!J360+'DOE25'!J361</f>
        <v>3000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313274.22999999992</v>
      </c>
      <c r="D31" s="20">
        <f>'DOE25'!L291+'DOE25'!L310+'DOE25'!L329+'DOE25'!L334+'DOE25'!L335+'DOE25'!L336-F31-G31-H31</f>
        <v>205057.53999999998</v>
      </c>
      <c r="E31" s="243"/>
      <c r="F31" s="244"/>
      <c r="G31" s="53">
        <f>'DOE25'!J291+'DOE25'!J310+'DOE25'!J329+'DOE25'!J334+'DOE25'!J335+'DOE25'!J336</f>
        <v>104713.28</v>
      </c>
      <c r="H31" s="53">
        <f>'DOE25'!K291+'DOE25'!K310+'DOE25'!K329+'DOE25'!K334+'DOE25'!K335+'DOE25'!K336</f>
        <v>3503.41</v>
      </c>
      <c r="I31" s="254"/>
    </row>
    <row r="32" spans="1:9" ht="12" thickBot="1" x14ac:dyDescent="0.25">
      <c r="C32" s="274"/>
      <c r="G32" s="249"/>
      <c r="H32" s="249"/>
      <c r="I32" s="256"/>
    </row>
    <row r="33" spans="1:9" ht="12" thickTop="1" x14ac:dyDescent="0.2">
      <c r="B33" t="s">
        <v>809</v>
      </c>
      <c r="D33" s="245">
        <f t="shared" ref="D33:I33" si="1">SUM(D5:D31)</f>
        <v>5614876.2800000012</v>
      </c>
      <c r="E33" s="245">
        <f t="shared" si="1"/>
        <v>156524.68</v>
      </c>
      <c r="F33" s="245">
        <f t="shared" si="1"/>
        <v>283850.8</v>
      </c>
      <c r="G33" s="245">
        <f t="shared" si="1"/>
        <v>172950.01</v>
      </c>
      <c r="H33" s="245">
        <f t="shared" si="1"/>
        <v>12994.689999999999</v>
      </c>
      <c r="I33" s="245">
        <f t="shared" si="1"/>
        <v>0</v>
      </c>
    </row>
    <row r="35" spans="1:9" ht="12" thickBot="1" x14ac:dyDescent="0.25">
      <c r="B35" s="249" t="s">
        <v>831</v>
      </c>
      <c r="D35" s="250">
        <f>E33</f>
        <v>156524.68</v>
      </c>
      <c r="E35" s="246"/>
      <c r="F35" s="333" t="s">
        <v>1632</v>
      </c>
      <c r="G35" s="334"/>
      <c r="H35" s="334"/>
      <c r="I35" s="334"/>
    </row>
    <row r="36" spans="1:9" ht="12" thickTop="1" x14ac:dyDescent="0.2">
      <c r="B36" t="s">
        <v>810</v>
      </c>
      <c r="D36" s="20">
        <f>D33</f>
        <v>5614876.2800000012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7" zoomScaleNormal="100" workbookViewId="0">
      <selection activeCell="A37" sqref="A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CHICHESTER SCHOOL DISTRICT</v>
      </c>
      <c r="B2" s="126">
        <f>'DOE25'!B2</f>
        <v>99</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4888463.33</v>
      </c>
      <c r="G4" s="300">
        <f>'DOE25'!L212+'DOE25'!L291</f>
        <v>4888463.33</v>
      </c>
      <c r="H4" s="353">
        <f>F4-G4</f>
        <v>0</v>
      </c>
      <c r="I4" s="371" t="str">
        <f>IF(H4=0,"","ISSUES!! Please review page 7 and 11 totals in comparison with total on this page")</f>
        <v/>
      </c>
      <c r="N4"/>
    </row>
    <row r="5" spans="1:18" x14ac:dyDescent="0.2">
      <c r="A5" s="21" t="s">
        <v>963</v>
      </c>
      <c r="B5" s="301">
        <f>IFERROR(VLOOKUP(A5,'School Tables'!$C$3:$D$365,2,FALSE),"")</f>
        <v>22590</v>
      </c>
      <c r="C5" s="294" t="str">
        <f>IFERROR(INDEX('School Tables'!$B$3:$B$365,MATCH('School Level Expenditures'!B5,'School Tables'!$D$3:$D$365,0)),"")</f>
        <v>Chichester</v>
      </c>
      <c r="D5" s="291">
        <v>4795073.03</v>
      </c>
      <c r="E5" s="291">
        <v>93390.3</v>
      </c>
      <c r="F5" s="304">
        <f>D5+E5</f>
        <v>4888463.33</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4795073.03</v>
      </c>
      <c r="E21" s="351">
        <f>SUM(E5:E20)</f>
        <v>93390.3</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0</v>
      </c>
      <c r="G24" s="300">
        <f>'DOE25'!L230+'DOE25'!L310</f>
        <v>0</v>
      </c>
      <c r="H24" s="353">
        <f>F24-G24</f>
        <v>0</v>
      </c>
      <c r="I24" s="371" t="str">
        <f>IF(H24=0,"","ISSUES!! Please review page 8 and 12 totals in comparison with total on this page")</f>
        <v/>
      </c>
      <c r="N24"/>
    </row>
    <row r="25" spans="1:14" x14ac:dyDescent="0.2">
      <c r="A25" s="21"/>
      <c r="B25" s="301" t="str">
        <f>IFERROR(VLOOKUP(A25,'School Tables'!$I$3:$J$80,2,FALSE),"")</f>
        <v/>
      </c>
      <c r="C25" s="294" t="str">
        <f t="array" ref="C25">IFERROR(INDEX('School Tables'!$H$3:$H$80,MATCH('School Level Expenditures'!B25,'School Tables'!$J$3:$J$80,0)),"")</f>
        <v/>
      </c>
      <c r="D25" s="291"/>
      <c r="E25" s="291"/>
      <c r="F25" s="304">
        <f>D25+E25</f>
        <v>0</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0</v>
      </c>
      <c r="E33" s="351">
        <f>SUM(E25:E32)</f>
        <v>0</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1271081.05</v>
      </c>
      <c r="G36" s="300">
        <f>'DOE25'!L248+'DOE25'!L329</f>
        <v>1271081.05</v>
      </c>
      <c r="H36" s="353">
        <f>F36-G36</f>
        <v>0</v>
      </c>
      <c r="I36" s="371" t="str">
        <f>IF(H36=0,"","ISSUES!! Please review page 9 and 13 totals in comparison with total on this page")</f>
        <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v>1271081.05</v>
      </c>
      <c r="E37" s="291"/>
      <c r="F37" s="304">
        <f t="shared" ref="F37:F42" si="2">D37+E37</f>
        <v>1271081.05</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1271081.05</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CHICHESTER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1250400.71</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106278.9</v>
      </c>
      <c r="D11" s="95">
        <f>'DOE25'!G12</f>
        <v>0</v>
      </c>
      <c r="E11" s="95">
        <f>'DOE25'!H12</f>
        <v>0</v>
      </c>
      <c r="F11" s="95">
        <f>'DOE25'!I12</f>
        <v>0</v>
      </c>
      <c r="G11" s="95">
        <f>'DOE25'!J12</f>
        <v>0</v>
      </c>
      <c r="H11" s="124"/>
      <c r="I11" s="124"/>
    </row>
    <row r="12" spans="1:9" x14ac:dyDescent="0.2">
      <c r="A12" s="1" t="s">
        <v>143</v>
      </c>
      <c r="B12" s="6">
        <v>140</v>
      </c>
      <c r="C12" s="95">
        <f>'DOE25'!F13</f>
        <v>72796.820000000007</v>
      </c>
      <c r="D12" s="95">
        <f>'DOE25'!G13</f>
        <v>5359.82</v>
      </c>
      <c r="E12" s="95">
        <f>'DOE25'!H13</f>
        <v>0</v>
      </c>
      <c r="F12" s="95">
        <f>'DOE25'!I13</f>
        <v>0</v>
      </c>
      <c r="G12" s="95">
        <f>'DOE25'!J13</f>
        <v>116748.94</v>
      </c>
      <c r="H12" s="124"/>
      <c r="I12" s="124"/>
    </row>
    <row r="13" spans="1:9" x14ac:dyDescent="0.2">
      <c r="A13" s="1" t="s">
        <v>144</v>
      </c>
      <c r="B13" s="6">
        <v>150</v>
      </c>
      <c r="C13" s="95">
        <f>'DOE25'!F14</f>
        <v>0</v>
      </c>
      <c r="D13" s="95">
        <f>'DOE25'!G14</f>
        <v>-171.4</v>
      </c>
      <c r="E13" s="95">
        <f>'DOE25'!H14</f>
        <v>113222.54</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4325.74</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-182.44</v>
      </c>
      <c r="F17" s="95">
        <f>'DOE25'!I18</f>
        <v>0</v>
      </c>
      <c r="G17" s="95">
        <f>'DOE25'!J18</f>
        <v>0</v>
      </c>
      <c r="H17" s="124"/>
      <c r="I17" s="124"/>
    </row>
    <row r="18" spans="1:9" ht="12" thickTop="1" x14ac:dyDescent="0.2">
      <c r="A18" s="38" t="s">
        <v>149</v>
      </c>
      <c r="B18" s="39"/>
      <c r="C18" s="41">
        <f>SUM(C8:C17)</f>
        <v>1429476.43</v>
      </c>
      <c r="D18" s="41">
        <f>SUM(D8:D17)</f>
        <v>9514.16</v>
      </c>
      <c r="E18" s="41">
        <f>SUM(E8:E17)</f>
        <v>113040.09999999999</v>
      </c>
      <c r="F18" s="41">
        <f>SUM(F8:F17)</f>
        <v>0</v>
      </c>
      <c r="G18" s="41">
        <f>SUM(G8:G17)</f>
        <v>116748.94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907426.84</v>
      </c>
      <c r="D21" s="95">
        <f>'DOE25'!G22</f>
        <v>9514.16</v>
      </c>
      <c r="E21" s="95">
        <f>'DOE25'!H22</f>
        <v>105475.62</v>
      </c>
      <c r="F21" s="95">
        <f>'DOE25'!I22</f>
        <v>0</v>
      </c>
      <c r="G21" s="95">
        <f>'DOE25'!J22</f>
        <v>0</v>
      </c>
      <c r="H21" s="124"/>
      <c r="I21" s="124"/>
    </row>
    <row r="22" spans="1:9" x14ac:dyDescent="0.2">
      <c r="A22" s="1" t="s">
        <v>151</v>
      </c>
      <c r="B22" s="6">
        <v>410</v>
      </c>
      <c r="C22" s="95">
        <f>'DOE25'!F23</f>
        <v>4684.93</v>
      </c>
      <c r="D22" s="95">
        <f>'DOE25'!G23</f>
        <v>0</v>
      </c>
      <c r="E22" s="95">
        <f>'DOE25'!H23</f>
        <v>2890.11</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912111.77</v>
      </c>
      <c r="D31" s="41">
        <f>SUM(D21:D30)</f>
        <v>9514.16</v>
      </c>
      <c r="E31" s="41">
        <f>SUM(E21:E30)</f>
        <v>108365.73</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60000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120620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4674.3700000000008</v>
      </c>
      <c r="F47" s="95">
        <f>'DOE25'!I48</f>
        <v>0</v>
      </c>
      <c r="G47" s="95">
        <f>'DOE25'!J48</f>
        <v>116748.94</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336744.66</v>
      </c>
      <c r="D49" s="24" t="s">
        <v>288</v>
      </c>
      <c r="E49" s="24" t="s">
        <v>288</v>
      </c>
      <c r="F49" s="24" t="s">
        <v>288</v>
      </c>
      <c r="G49" s="24" t="s">
        <v>288</v>
      </c>
      <c r="H49" s="124"/>
      <c r="I49" s="124"/>
    </row>
    <row r="50" spans="1:9" ht="12.75" thickTop="1" thickBot="1" x14ac:dyDescent="0.25">
      <c r="A50" s="38" t="s">
        <v>884</v>
      </c>
      <c r="B50" s="48"/>
      <c r="C50" s="41">
        <f>SUM(C34:C49)</f>
        <v>517364.66</v>
      </c>
      <c r="D50" s="41">
        <f>SUM(D34:D49)</f>
        <v>0</v>
      </c>
      <c r="E50" s="41">
        <f>SUM(E34:E49)</f>
        <v>4674.3700000000008</v>
      </c>
      <c r="F50" s="41">
        <f>SUM(F34:F49)</f>
        <v>0</v>
      </c>
      <c r="G50" s="41">
        <f>SUM(G34:G49)</f>
        <v>116748.94</v>
      </c>
      <c r="H50" s="124"/>
      <c r="I50" s="124"/>
    </row>
    <row r="51" spans="1:9" ht="12" thickTop="1" x14ac:dyDescent="0.2">
      <c r="A51" s="38" t="s">
        <v>885</v>
      </c>
      <c r="B51" s="2"/>
      <c r="C51" s="41">
        <f>C50+C31</f>
        <v>1429476.43</v>
      </c>
      <c r="D51" s="41">
        <f>D50+D31</f>
        <v>9514.16</v>
      </c>
      <c r="E51" s="41">
        <f>E50+E31</f>
        <v>113040.09999999999</v>
      </c>
      <c r="F51" s="41">
        <f>F50+F31</f>
        <v>0</v>
      </c>
      <c r="G51" s="41">
        <f>G50+G31</f>
        <v>116748.94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4222253</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1130.3399999999999</v>
      </c>
      <c r="D59" s="95">
        <f>'DOE25'!G96</f>
        <v>0</v>
      </c>
      <c r="E59" s="95">
        <f>'DOE25'!H96</f>
        <v>0</v>
      </c>
      <c r="F59" s="95">
        <f>'DOE25'!I96</f>
        <v>0</v>
      </c>
      <c r="G59" s="95">
        <f>'DOE25'!J96</f>
        <v>1162.76</v>
      </c>
      <c r="H59"/>
      <c r="I59"/>
    </row>
    <row r="60" spans="1:9" x14ac:dyDescent="0.2">
      <c r="A60" s="1" t="s">
        <v>170</v>
      </c>
      <c r="B60" s="118" t="s">
        <v>171</v>
      </c>
      <c r="C60" s="24" t="s">
        <v>288</v>
      </c>
      <c r="D60" s="95">
        <f>'DOE25'!G97</f>
        <v>2012.29</v>
      </c>
      <c r="E60" s="24" t="s">
        <v>288</v>
      </c>
      <c r="F60" s="24" t="s">
        <v>288</v>
      </c>
      <c r="G60" s="24" t="s">
        <v>288</v>
      </c>
      <c r="H60"/>
      <c r="I60"/>
    </row>
    <row r="61" spans="1:9" ht="12" thickBot="1" x14ac:dyDescent="0.25">
      <c r="A61" s="1" t="s">
        <v>172</v>
      </c>
      <c r="B61" s="118" t="s">
        <v>173</v>
      </c>
      <c r="C61" s="95">
        <f>SUM('DOE25'!F98:F110)</f>
        <v>19498.54</v>
      </c>
      <c r="D61" s="95">
        <f>SUM('DOE25'!G98:G110)</f>
        <v>376.40999999999997</v>
      </c>
      <c r="E61" s="95">
        <f>SUM('DOE25'!H98:H110)</f>
        <v>0</v>
      </c>
      <c r="F61" s="95">
        <f>SUM('DOE25'!I98:I110)</f>
        <v>0</v>
      </c>
      <c r="G61" s="95">
        <f>SUM('DOE25'!J98:J110)</f>
        <v>4105.05</v>
      </c>
      <c r="H61"/>
      <c r="I61"/>
    </row>
    <row r="62" spans="1:9" ht="12.75" thickTop="1" thickBot="1" x14ac:dyDescent="0.25">
      <c r="A62" s="29" t="s">
        <v>174</v>
      </c>
      <c r="B62" s="6"/>
      <c r="C62" s="130">
        <f>SUM(C57:C61)</f>
        <v>20628.88</v>
      </c>
      <c r="D62" s="130">
        <f>SUM(D57:D61)</f>
        <v>2388.6999999999998</v>
      </c>
      <c r="E62" s="130">
        <f>SUM(E57:E61)</f>
        <v>0</v>
      </c>
      <c r="F62" s="130">
        <f>SUM(F57:F61)</f>
        <v>0</v>
      </c>
      <c r="G62" s="130">
        <f>SUM(G57:G61)</f>
        <v>5267.81</v>
      </c>
      <c r="H62"/>
      <c r="I62"/>
    </row>
    <row r="63" spans="1:9" ht="12" thickTop="1" x14ac:dyDescent="0.2">
      <c r="A63" s="29" t="s">
        <v>175</v>
      </c>
      <c r="B63" s="6"/>
      <c r="C63" s="22">
        <f>C56+C62</f>
        <v>4242881.88</v>
      </c>
      <c r="D63" s="22">
        <f>D56+D62</f>
        <v>2388.6999999999998</v>
      </c>
      <c r="E63" s="22">
        <f>E56+E62</f>
        <v>0</v>
      </c>
      <c r="F63" s="22">
        <f>F56+F62</f>
        <v>0</v>
      </c>
      <c r="G63" s="22">
        <f>G56+G62</f>
        <v>5267.81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899162.98</v>
      </c>
      <c r="D66" s="24" t="s">
        <v>288</v>
      </c>
      <c r="E66" s="24" t="s">
        <v>288</v>
      </c>
      <c r="F66" s="24" t="s">
        <v>288</v>
      </c>
      <c r="G66" s="24" t="s">
        <v>288</v>
      </c>
      <c r="H66"/>
      <c r="I66"/>
    </row>
    <row r="67" spans="1:9" x14ac:dyDescent="0.2">
      <c r="A67" s="1" t="s">
        <v>770</v>
      </c>
      <c r="B67" s="6">
        <v>3112</v>
      </c>
      <c r="C67" s="95">
        <f>'DOE25'!F118</f>
        <v>602553</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1501715.98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64981.61</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107.38</v>
      </c>
      <c r="E77" s="95">
        <f>SUM('DOE25'!H131:H135)</f>
        <v>0</v>
      </c>
      <c r="F77" s="95">
        <f>SUM('DOE25'!I131:I135)</f>
        <v>0</v>
      </c>
      <c r="G77" s="95">
        <f>SUM('DOE25'!J131:J135)</f>
        <v>0</v>
      </c>
      <c r="H77"/>
      <c r="I77"/>
    </row>
    <row r="78" spans="1:9" ht="12.75" thickTop="1" thickBot="1" x14ac:dyDescent="0.25">
      <c r="A78" s="29" t="s">
        <v>259</v>
      </c>
      <c r="B78" s="6"/>
      <c r="C78" s="130">
        <f>SUM(C72:C77)</f>
        <v>64981.61</v>
      </c>
      <c r="D78" s="130">
        <f>SUM(D72:D77)</f>
        <v>107.38</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1566697.59</v>
      </c>
      <c r="D81" s="130">
        <f>SUM(D79:D80)+D78+D70</f>
        <v>107.38</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8904.01</v>
      </c>
      <c r="F87" s="95">
        <f>SUM('DOE25'!I149:I152)</f>
        <v>0</v>
      </c>
      <c r="G87" s="24" t="s">
        <v>288</v>
      </c>
    </row>
    <row r="88" spans="1:9" x14ac:dyDescent="0.2">
      <c r="A88" s="288" t="s">
        <v>747</v>
      </c>
      <c r="B88" s="330" t="s">
        <v>184</v>
      </c>
      <c r="C88" s="331">
        <f>SUM('DOE25'!F153:F162)</f>
        <v>9558.69</v>
      </c>
      <c r="D88" s="331">
        <f>SUM('DOE25'!G153:G162)</f>
        <v>40904.29</v>
      </c>
      <c r="E88" s="331">
        <f>SUM('DOE25'!H153:H162)</f>
        <v>304370.21999999997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9558.69</v>
      </c>
      <c r="D91" s="131">
        <f>SUM(D85:D90)</f>
        <v>40904.29</v>
      </c>
      <c r="E91" s="131">
        <f>SUM(E85:E90)</f>
        <v>313274.23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51008.82</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51008.82</v>
      </c>
      <c r="E103" s="86">
        <f>SUM(E93:E102)</f>
        <v>0</v>
      </c>
      <c r="F103" s="86">
        <f>SUM(F93:F102)</f>
        <v>0</v>
      </c>
      <c r="G103" s="86">
        <f>SUM(G93:G102)</f>
        <v>0</v>
      </c>
    </row>
    <row r="104" spans="1:7" ht="12.75" thickTop="1" thickBot="1" x14ac:dyDescent="0.25">
      <c r="A104" s="33" t="s">
        <v>761</v>
      </c>
      <c r="C104" s="86">
        <f>C63+C81+C91+C103</f>
        <v>5819138.1600000001</v>
      </c>
      <c r="D104" s="86">
        <f>D63+D81+D91+D103</f>
        <v>94409.19</v>
      </c>
      <c r="E104" s="86">
        <f>E63+E81+E91+E103</f>
        <v>313274.23</v>
      </c>
      <c r="F104" s="86">
        <f>F63+F81+F91+F103</f>
        <v>0</v>
      </c>
      <c r="G104" s="86">
        <f>G63+G81+G103</f>
        <v>5267.81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3184991.45</v>
      </c>
      <c r="D109" s="24" t="s">
        <v>288</v>
      </c>
      <c r="E109" s="95">
        <f>('DOE25'!L277)+('DOE25'!L296)+('DOE25'!L315)</f>
        <v>91944.69</v>
      </c>
      <c r="F109" s="24" t="s">
        <v>288</v>
      </c>
      <c r="G109" s="24" t="s">
        <v>288</v>
      </c>
    </row>
    <row r="110" spans="1:7" x14ac:dyDescent="0.2">
      <c r="A110" t="s">
        <v>198</v>
      </c>
      <c r="B110" s="32" t="s">
        <v>199</v>
      </c>
      <c r="C110" s="95">
        <f>('DOE25'!L199)+('DOE25'!L217)+('DOE25'!L235)</f>
        <v>942478.91</v>
      </c>
      <c r="D110" s="24" t="s">
        <v>288</v>
      </c>
      <c r="E110" s="95">
        <f>('DOE25'!L278)+('DOE25'!L297)+('DOE25'!L316)</f>
        <v>80841.579999999987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48035.33</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4175505.6900000004</v>
      </c>
      <c r="D115" s="86">
        <f>SUM(D109:D114)</f>
        <v>0</v>
      </c>
      <c r="E115" s="86">
        <f>SUM(E109:E114)</f>
        <v>172786.27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370440.5</v>
      </c>
      <c r="D118" s="24" t="s">
        <v>288</v>
      </c>
      <c r="E118" s="95">
        <f>+('DOE25'!L282)+('DOE25'!L301)+('DOE25'!L320)</f>
        <v>0</v>
      </c>
      <c r="F118" s="24" t="s">
        <v>288</v>
      </c>
      <c r="G118" s="24" t="s">
        <v>288</v>
      </c>
    </row>
    <row r="119" spans="1:7" x14ac:dyDescent="0.2">
      <c r="A119" t="s">
        <v>208</v>
      </c>
      <c r="B119" s="32" t="s">
        <v>209</v>
      </c>
      <c r="C119" s="95">
        <f>('DOE25'!L204)+('DOE25'!L222)+('DOE25'!L240)</f>
        <v>182452.75</v>
      </c>
      <c r="D119" s="24" t="s">
        <v>288</v>
      </c>
      <c r="E119" s="95">
        <f>+('DOE25'!L283)+('DOE25'!L302)+('DOE25'!L321)</f>
        <v>11116.11</v>
      </c>
      <c r="F119" s="24" t="s">
        <v>288</v>
      </c>
      <c r="G119" s="24" t="s">
        <v>288</v>
      </c>
    </row>
    <row r="120" spans="1:7" x14ac:dyDescent="0.2">
      <c r="A120" t="s">
        <v>210</v>
      </c>
      <c r="B120" s="32" t="s">
        <v>211</v>
      </c>
      <c r="C120" s="95">
        <f>('DOE25'!L205)+('DOE25'!L223)+('DOE25'!L241)</f>
        <v>201628.5</v>
      </c>
      <c r="D120" s="24" t="s">
        <v>288</v>
      </c>
      <c r="E120" s="95">
        <f>+('DOE25'!L284)+('DOE25'!L303)+('DOE25'!L322)</f>
        <v>3503.41</v>
      </c>
      <c r="F120" s="24" t="s">
        <v>288</v>
      </c>
      <c r="G120" s="24" t="s">
        <v>288</v>
      </c>
    </row>
    <row r="121" spans="1:7" x14ac:dyDescent="0.2">
      <c r="A121" t="s">
        <v>212</v>
      </c>
      <c r="B121" s="32" t="s">
        <v>213</v>
      </c>
      <c r="C121" s="95">
        <f>('DOE25'!L206)+('DOE25'!L224)+('DOE25'!L242)</f>
        <v>206618.94</v>
      </c>
      <c r="D121" s="24" t="s">
        <v>288</v>
      </c>
      <c r="E121" s="95">
        <f>+('DOE25'!L285)+('DOE25'!L304)+('DOE25'!L323)</f>
        <v>1166</v>
      </c>
      <c r="F121" s="24" t="s">
        <v>288</v>
      </c>
      <c r="G121" s="24" t="s">
        <v>288</v>
      </c>
    </row>
    <row r="122" spans="1:7" x14ac:dyDescent="0.2">
      <c r="A122" t="s">
        <v>214</v>
      </c>
      <c r="B122" s="32" t="s">
        <v>215</v>
      </c>
      <c r="C122" s="95">
        <f>('DOE25'!L207)+('DOE25'!L225)+('DOE25'!L243)</f>
        <v>0</v>
      </c>
      <c r="D122" s="24" t="s">
        <v>288</v>
      </c>
      <c r="E122" s="95">
        <f>+('DOE25'!L286)+('DOE25'!L305)+('DOE25'!L324)</f>
        <v>55507.18</v>
      </c>
      <c r="F122" s="24" t="s">
        <v>288</v>
      </c>
      <c r="G122" s="24" t="s">
        <v>288</v>
      </c>
    </row>
    <row r="123" spans="1:7" x14ac:dyDescent="0.2">
      <c r="A123" t="s">
        <v>216</v>
      </c>
      <c r="B123" s="32" t="s">
        <v>217</v>
      </c>
      <c r="C123" s="95">
        <f>('DOE25'!L208)+('DOE25'!L226)+('DOE25'!L244)</f>
        <v>417332.31</v>
      </c>
      <c r="D123" s="24" t="s">
        <v>288</v>
      </c>
      <c r="E123" s="95">
        <f>+('DOE25'!L287)+('DOE25'!L306)+('DOE25'!L325)</f>
        <v>69195.259999999995</v>
      </c>
      <c r="F123" s="24" t="s">
        <v>288</v>
      </c>
      <c r="G123" s="24" t="s">
        <v>288</v>
      </c>
    </row>
    <row r="124" spans="1:7" x14ac:dyDescent="0.2">
      <c r="A124" t="s">
        <v>218</v>
      </c>
      <c r="B124" s="32" t="s">
        <v>219</v>
      </c>
      <c r="C124" s="95">
        <f>('DOE25'!L209)+('DOE25'!L227)+('DOE25'!L245+'DOE25'!L255)</f>
        <v>292291.45999999996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94409.19</v>
      </c>
      <c r="E127" s="24" t="s">
        <v>288</v>
      </c>
      <c r="F127" s="24" t="s">
        <v>288</v>
      </c>
      <c r="G127" s="24" t="s">
        <v>288</v>
      </c>
    </row>
    <row r="128" spans="1:7" ht="12.75" thickTop="1" thickBot="1" x14ac:dyDescent="0.25">
      <c r="A128" s="33" t="s">
        <v>226</v>
      </c>
      <c r="C128" s="86">
        <f>SUM(C118:C127)</f>
        <v>1670764.46</v>
      </c>
      <c r="D128" s="86">
        <f>SUM(D118:D127)</f>
        <v>94409.19</v>
      </c>
      <c r="E128" s="86">
        <f>SUM(E118:E127)</f>
        <v>140487.96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51008.82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5267.81</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-5267.81</v>
      </c>
      <c r="D141" s="24" t="s">
        <v>288</v>
      </c>
      <c r="E141" s="24" t="s">
        <v>288</v>
      </c>
      <c r="F141" s="24" t="s">
        <v>288</v>
      </c>
      <c r="G141" s="24" t="s">
        <v>288</v>
      </c>
    </row>
    <row r="142" spans="1:7" x14ac:dyDescent="0.2">
      <c r="A142" t="s">
        <v>241</v>
      </c>
      <c r="B142" s="32">
        <v>5310</v>
      </c>
      <c r="C142" s="129">
        <f>'DOE25'!L269</f>
        <v>12288.85</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63297.67</v>
      </c>
      <c r="D144" s="141">
        <f>SUM(D130:D143)</f>
        <v>0</v>
      </c>
      <c r="E144" s="141">
        <f>SUM(E130:E143)</f>
        <v>0</v>
      </c>
      <c r="F144" s="141">
        <f>SUM(F130:F143)</f>
        <v>0</v>
      </c>
      <c r="G144" s="141">
        <f>SUM(G130:G143)</f>
        <v>0</v>
      </c>
    </row>
    <row r="145" spans="1:9" ht="12.75" thickTop="1" thickBot="1" x14ac:dyDescent="0.25">
      <c r="A145" s="33" t="s">
        <v>244</v>
      </c>
      <c r="C145" s="86">
        <f>(C115+C128+C144)</f>
        <v>5909567.8200000003</v>
      </c>
      <c r="D145" s="86">
        <f>(D115+D128+D144)</f>
        <v>94409.19</v>
      </c>
      <c r="E145" s="86">
        <f>(E115+E128+E144)</f>
        <v>313274.23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K624" activeCellId="1" sqref="K639 K62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CHICHESTER SCHOOL DISTRICT</v>
      </c>
    </row>
    <row r="3" spans="1:4" x14ac:dyDescent="0.2">
      <c r="B3" s="188" t="s">
        <v>1666</v>
      </c>
    </row>
    <row r="4" spans="1:4" x14ac:dyDescent="0.2">
      <c r="B4" t="s">
        <v>61</v>
      </c>
      <c r="C4" s="179">
        <f>IF('DOE25'!F666+'DOE25'!F671=0,0,ROUND('DOE25'!F673,0))</f>
        <v>21804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21804</v>
      </c>
    </row>
    <row r="9" spans="1:4" x14ac:dyDescent="0.2">
      <c r="A9" s="187" t="s">
        <v>94</v>
      </c>
      <c r="B9" s="188" t="s">
        <v>1671</v>
      </c>
      <c r="C9" s="181" t="s">
        <v>720</v>
      </c>
      <c r="D9" s="181" t="s">
        <v>721</v>
      </c>
    </row>
    <row r="10" spans="1:4" x14ac:dyDescent="0.2">
      <c r="A10">
        <v>1100</v>
      </c>
      <c r="B10" t="s">
        <v>702</v>
      </c>
      <c r="C10" s="179">
        <f>ROUND('DOE25'!L198+'DOE25'!L216+'DOE25'!L234+'DOE25'!L277+'DOE25'!L296+'DOE25'!L315,0)</f>
        <v>3276936</v>
      </c>
      <c r="D10" s="182">
        <f>ROUND((C10/$C$28)*100,1)</f>
        <v>52.3</v>
      </c>
    </row>
    <row r="11" spans="1:4" x14ac:dyDescent="0.2">
      <c r="A11">
        <v>1200</v>
      </c>
      <c r="B11" t="s">
        <v>703</v>
      </c>
      <c r="C11" s="179">
        <f>ROUND('DOE25'!L199+'DOE25'!L217+'DOE25'!L235+'DOE25'!L278+'DOE25'!L297+'DOE25'!L316,0)</f>
        <v>1023320</v>
      </c>
      <c r="D11" s="182">
        <f>ROUND((C11/$C$28)*100,1)</f>
        <v>16.3</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48035</v>
      </c>
      <c r="D13" s="182">
        <f>ROUND((C13/$C$28)*100,1)</f>
        <v>0.8</v>
      </c>
    </row>
    <row r="14" spans="1:4" x14ac:dyDescent="0.2">
      <c r="D14" s="182"/>
    </row>
    <row r="15" spans="1:4" x14ac:dyDescent="0.2">
      <c r="A15">
        <v>2100</v>
      </c>
      <c r="B15" t="s">
        <v>706</v>
      </c>
      <c r="C15" s="179">
        <f>ROUND('DOE25'!L203+'DOE25'!L221+'DOE25'!L239+'DOE25'!L282+'DOE25'!L301+'DOE25'!L320,0)</f>
        <v>370441</v>
      </c>
      <c r="D15" s="182">
        <f t="shared" ref="D15:D27" si="0">ROUND((C15/$C$28)*100,1)</f>
        <v>5.9</v>
      </c>
    </row>
    <row r="16" spans="1:4" x14ac:dyDescent="0.2">
      <c r="A16">
        <v>2200</v>
      </c>
      <c r="B16" t="s">
        <v>707</v>
      </c>
      <c r="C16" s="179">
        <f>ROUND('DOE25'!L204+'DOE25'!L222+'DOE25'!L240+'DOE25'!L283+'DOE25'!L302+'DOE25'!L321,0)</f>
        <v>193569</v>
      </c>
      <c r="D16" s="182">
        <f t="shared" si="0"/>
        <v>3.1</v>
      </c>
    </row>
    <row r="17" spans="1:4" x14ac:dyDescent="0.2">
      <c r="A17" s="183" t="s">
        <v>723</v>
      </c>
      <c r="B17" t="s">
        <v>738</v>
      </c>
      <c r="C17" s="179">
        <f>ROUND('DOE25'!L205+'DOE25'!L210+'DOE25'!L223+'DOE25'!L228+'DOE25'!L241+'DOE25'!L246+'DOE25'!L284+'DOE25'!L289+'DOE25'!L303+'DOE25'!L308+'DOE25'!L322+'DOE25'!L327,0)</f>
        <v>205132</v>
      </c>
      <c r="D17" s="182">
        <f t="shared" si="0"/>
        <v>3.3</v>
      </c>
    </row>
    <row r="18" spans="1:4" x14ac:dyDescent="0.2">
      <c r="A18">
        <v>2400</v>
      </c>
      <c r="B18" t="s">
        <v>711</v>
      </c>
      <c r="C18" s="179">
        <f>ROUND('DOE25'!L206+'DOE25'!L224+'DOE25'!L242+'DOE25'!L285+'DOE25'!L304+'DOE25'!L323,0)</f>
        <v>207785</v>
      </c>
      <c r="D18" s="182">
        <f t="shared" si="0"/>
        <v>3.3</v>
      </c>
    </row>
    <row r="19" spans="1:4" x14ac:dyDescent="0.2">
      <c r="A19">
        <v>2500</v>
      </c>
      <c r="B19" t="s">
        <v>708</v>
      </c>
      <c r="C19" s="179">
        <f>ROUND('DOE25'!L207+'DOE25'!L225+'DOE25'!L243+'DOE25'!L286+'DOE25'!L305+'DOE25'!L324,0)</f>
        <v>55507</v>
      </c>
      <c r="D19" s="182">
        <f t="shared" si="0"/>
        <v>0.9</v>
      </c>
    </row>
    <row r="20" spans="1:4" x14ac:dyDescent="0.2">
      <c r="A20">
        <v>2600</v>
      </c>
      <c r="B20" t="s">
        <v>709</v>
      </c>
      <c r="C20" s="179">
        <f>ROUND('DOE25'!L208+'DOE25'!L226+'DOE25'!L244+'DOE25'!L287+'DOE25'!L306+'DOE25'!L325,0)</f>
        <v>486528</v>
      </c>
      <c r="D20" s="182">
        <f t="shared" si="0"/>
        <v>7.8</v>
      </c>
    </row>
    <row r="21" spans="1:4" x14ac:dyDescent="0.2">
      <c r="A21">
        <v>2700</v>
      </c>
      <c r="B21" t="s">
        <v>710</v>
      </c>
      <c r="C21" s="179">
        <f>ROUND('DOE25'!L209+'DOE25'!L227+'DOE25'!L245+'DOE25'!L288+'DOE25'!L307+'DOE25'!L326,0)</f>
        <v>292291</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12288.85</v>
      </c>
      <c r="D26" s="182">
        <f t="shared" si="0"/>
        <v>0.2</v>
      </c>
    </row>
    <row r="27" spans="1:4" x14ac:dyDescent="0.2">
      <c r="A27">
        <v>3100</v>
      </c>
      <c r="B27" t="s">
        <v>11</v>
      </c>
      <c r="C27" s="179">
        <f>ROUND('DOE25'!L363-'DOE25'!L362,0)-SUM('DOE25'!G97:G110)</f>
        <v>92020.3</v>
      </c>
      <c r="D27" s="182">
        <f t="shared" si="0"/>
        <v>1.5</v>
      </c>
    </row>
    <row r="28" spans="1:4" x14ac:dyDescent="0.2">
      <c r="B28" s="187" t="s">
        <v>719</v>
      </c>
      <c r="C28" s="180">
        <f>SUM(C10:C27)</f>
        <v>6263853.1499999994</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6263853.1499999994</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4222253</v>
      </c>
      <c r="D35" s="182">
        <f t="shared" ref="D35:D40" si="1">ROUND((C35/$C$41)*100,1)</f>
        <v>68.3</v>
      </c>
    </row>
    <row r="36" spans="1:4" x14ac:dyDescent="0.2">
      <c r="B36" s="185" t="s">
        <v>739</v>
      </c>
      <c r="C36" s="179">
        <f>SUM('DOE25'!F112:J112)-SUM('DOE25'!G97:G110)+('DOE25'!F175+'DOE25'!F176+'DOE25'!I175+'DOE25'!I176)-C35</f>
        <v>25896.689999999478</v>
      </c>
      <c r="D36" s="182">
        <f t="shared" si="1"/>
        <v>0.4</v>
      </c>
    </row>
    <row r="37" spans="1:4" x14ac:dyDescent="0.2">
      <c r="A37" s="183" t="s">
        <v>835</v>
      </c>
      <c r="B37" s="185" t="s">
        <v>728</v>
      </c>
      <c r="C37" s="179">
        <f>ROUND('DOE25'!F117+'DOE25'!F118,0)</f>
        <v>1501716</v>
      </c>
      <c r="D37" s="182">
        <f t="shared" si="1"/>
        <v>24.3</v>
      </c>
    </row>
    <row r="38" spans="1:4" x14ac:dyDescent="0.2">
      <c r="A38" s="183" t="s">
        <v>734</v>
      </c>
      <c r="B38" s="185" t="s">
        <v>729</v>
      </c>
      <c r="C38" s="179">
        <f>ROUND(SUM('DOE25'!F140:J140)-SUM('DOE25'!F117:F119),0)</f>
        <v>65089</v>
      </c>
      <c r="D38" s="182">
        <f t="shared" si="1"/>
        <v>1.1000000000000001</v>
      </c>
    </row>
    <row r="39" spans="1:4" x14ac:dyDescent="0.2">
      <c r="A39">
        <v>4000</v>
      </c>
      <c r="B39" s="185" t="s">
        <v>730</v>
      </c>
      <c r="C39" s="179">
        <f>ROUND('DOE25'!F170+'DOE25'!G170+'DOE25'!H170+'DOE25'!I170,0)</f>
        <v>363737</v>
      </c>
      <c r="D39" s="182">
        <f t="shared" si="1"/>
        <v>5.9</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6178691.6899999995</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K624" activeCellId="1" sqref="K639 K624"/>
      <selection pane="bottomLeft" activeCell="C13" sqref="C13:M13"/>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CHICHESTER SCHOOL DISTRICT</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v>5</v>
      </c>
      <c r="B4" s="219">
        <v>12</v>
      </c>
      <c r="C4" s="376" t="s">
        <v>1673</v>
      </c>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2021-09-28T17:58:56Z</cp:lastPrinted>
  <dcterms:created xsi:type="dcterms:W3CDTF">1997-12-04T19:04:30Z</dcterms:created>
  <dcterms:modified xsi:type="dcterms:W3CDTF">2021-12-13T18:26:32Z</dcterms:modified>
</cp:coreProperties>
</file>