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62" i="1" l="1"/>
  <c r="H161" i="1"/>
  <c r="H155" i="1"/>
  <c r="F31" i="13" l="1"/>
  <c r="F14" i="13"/>
  <c r="E37" i="14" l="1"/>
  <c r="D37" i="14"/>
  <c r="E25" i="14"/>
  <c r="D25" i="14"/>
  <c r="B19" i="12"/>
  <c r="B10" i="12"/>
  <c r="B12" i="12"/>
  <c r="B11" i="12"/>
  <c r="B37" i="12"/>
  <c r="B36" i="16" l="1"/>
  <c r="J605" i="1" l="1"/>
  <c r="I605" i="1"/>
  <c r="H605" i="1"/>
  <c r="H159" i="1"/>
  <c r="H156" i="1"/>
  <c r="H157" i="1" l="1"/>
  <c r="G48" i="1"/>
  <c r="H48" i="1"/>
  <c r="H22" i="1"/>
  <c r="H583" i="1"/>
  <c r="G583" i="1"/>
  <c r="F583" i="1"/>
  <c r="K524" i="1" l="1"/>
  <c r="J524" i="1"/>
  <c r="I524" i="1"/>
  <c r="H524" i="1"/>
  <c r="G524" i="1"/>
  <c r="F524" i="1"/>
  <c r="K523" i="1"/>
  <c r="J523" i="1"/>
  <c r="I523" i="1"/>
  <c r="H523" i="1"/>
  <c r="G523" i="1"/>
  <c r="F523" i="1"/>
  <c r="K522" i="1"/>
  <c r="J522" i="1"/>
  <c r="I522" i="1"/>
  <c r="H522" i="1"/>
  <c r="G522" i="1"/>
  <c r="F522" i="1"/>
  <c r="G23" i="1"/>
  <c r="G28" i="1" l="1"/>
  <c r="H361" i="1"/>
  <c r="H360" i="1"/>
  <c r="H359" i="1"/>
  <c r="G158" i="1"/>
  <c r="G132" i="1" l="1"/>
  <c r="G97" i="1"/>
  <c r="H24" i="1"/>
  <c r="G24" i="1"/>
  <c r="F96" i="1" l="1"/>
  <c r="F102" i="1"/>
  <c r="F69" i="1"/>
  <c r="F12" i="1" l="1"/>
  <c r="F9" i="1" l="1"/>
  <c r="F29" i="1" l="1"/>
  <c r="F31" i="1"/>
  <c r="F28" i="1"/>
  <c r="F25" i="1"/>
  <c r="F14"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4" i="1"/>
  <c r="H636" i="1"/>
  <c r="H637" i="1"/>
  <c r="H638" i="1"/>
  <c r="H639" i="1"/>
  <c r="G644" i="1"/>
  <c r="G645" i="1"/>
  <c r="G652" i="1"/>
  <c r="G653" i="1"/>
  <c r="H653" i="1"/>
  <c r="G654" i="1"/>
  <c r="H654" i="1"/>
  <c r="G655" i="1"/>
  <c r="H655" i="1"/>
  <c r="H656" i="1"/>
  <c r="J656" i="1" s="1"/>
  <c r="G62" i="2"/>
  <c r="I170" i="1"/>
  <c r="G646" i="1" l="1"/>
  <c r="I409" i="1"/>
  <c r="G663" i="1"/>
  <c r="H663" i="1"/>
  <c r="C110" i="2"/>
  <c r="J652" i="1"/>
  <c r="J112" i="1"/>
  <c r="J194" i="1" s="1"/>
  <c r="G647" i="1" s="1"/>
  <c r="C121" i="2"/>
  <c r="G409" i="1"/>
  <c r="H646" i="1" s="1"/>
  <c r="J646" i="1" s="1"/>
  <c r="E121" i="2"/>
  <c r="C12" i="10"/>
  <c r="D15" i="13"/>
  <c r="C15" i="13" s="1"/>
  <c r="C13" i="10"/>
  <c r="C120" i="2"/>
  <c r="E123" i="2"/>
  <c r="E110" i="2"/>
  <c r="H409" i="1"/>
  <c r="H645" i="1" s="1"/>
  <c r="J645" i="1" s="1"/>
  <c r="E112" i="2"/>
  <c r="G662" i="1"/>
  <c r="D50" i="2"/>
  <c r="G553" i="1"/>
  <c r="J258" i="1"/>
  <c r="J272" i="1" s="1"/>
  <c r="A40" i="12"/>
  <c r="E119" i="2"/>
  <c r="D6" i="13"/>
  <c r="C6" i="13" s="1"/>
  <c r="E13" i="13"/>
  <c r="C13" i="13" s="1"/>
  <c r="K339" i="1"/>
  <c r="K353" i="1" s="1"/>
  <c r="G339" i="1"/>
  <c r="G353" i="1" s="1"/>
  <c r="H477" i="1"/>
  <c r="H625" i="1" s="1"/>
  <c r="J625" i="1" s="1"/>
  <c r="E131" i="2"/>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C141" i="2" l="1"/>
  <c r="C144" i="2" s="1"/>
  <c r="E51" i="2"/>
  <c r="G24" i="14"/>
  <c r="H24" i="14" s="1"/>
  <c r="I24" i="14" s="1"/>
  <c r="E128" i="2"/>
  <c r="F661" i="1"/>
  <c r="F665" i="1" s="1"/>
  <c r="F668" i="1" s="1"/>
  <c r="H649" i="1"/>
  <c r="J649" i="1" s="1"/>
  <c r="C81" i="2"/>
  <c r="F194" i="1"/>
  <c r="G628" i="1" s="1"/>
  <c r="J628" i="1" s="1"/>
  <c r="H661" i="1"/>
  <c r="H665" i="1" s="1"/>
  <c r="H668" i="1" s="1"/>
  <c r="D51" i="2"/>
  <c r="E115"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4" i="14" l="1"/>
  <c r="I4" i="14" s="1"/>
  <c r="G633" i="1"/>
  <c r="F473" i="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J633" i="1" s="1"/>
  <c r="F475" i="1"/>
  <c r="F477" i="1" s="1"/>
  <c r="H623" i="1" s="1"/>
  <c r="J623" i="1" s="1"/>
  <c r="I668" i="1"/>
  <c r="D28" i="10"/>
  <c r="D37" i="10"/>
  <c r="D36" i="10"/>
  <c r="D35" i="10"/>
  <c r="D40" i="10"/>
  <c r="D39" i="10"/>
  <c r="H657"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<sst xmlns="http://schemas.openxmlformats.org/spreadsheetml/2006/main" count="5578" uniqueCount="1675">
  <si>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</si>
  <si>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</si>
  <si>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</si>
  <si>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</si>
  <si>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</si>
  <si>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</si>
  <si>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</si>
  <si>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</si>
  <si>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</si>
  <si>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</si>
  <si>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</si>
  <si>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</si>
  <si>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</si>
  <si>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</si>
  <si>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</si>
  <si>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</si>
  <si>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</si>
  <si>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</si>
  <si>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</si>
  <si>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</si>
  <si>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</si>
  <si>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</si>
  <si>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</si>
  <si>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</si>
  <si>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</si>
  <si>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</si>
  <si>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</si>
  <si>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</si>
  <si>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</si>
  <si>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</si>
  <si>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</si>
  <si>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</si>
  <si>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</si>
  <si>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</si>
  <si>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</si>
  <si>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</si>
  <si>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</si>
  <si>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</si>
  <si>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</si>
  <si>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</si>
  <si>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</si>
  <si>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</si>
  <si>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</si>
  <si>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</si>
  <si>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</si>
  <si>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</si>
  <si>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</si>
  <si>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</si>
  <si>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</si>
  <si>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</si>
  <si>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</si>
  <si>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</si>
  <si>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</si>
  <si>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</si>
  <si>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</si>
  <si>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</si>
  <si>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</si>
  <si>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</si>
  <si>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</si>
  <si>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</si>
  <si>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</si>
  <si>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</si>
  <si>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</si>
  <si>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</si>
  <si>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</si>
  <si>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</si>
  <si>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</si>
  <si>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</si>
  <si>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</si>
  <si>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</si>
  <si>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</si>
  <si>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</si>
  <si>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</si>
  <si>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</si>
  <si>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</si>
  <si>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</si>
  <si>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</si>
  <si>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</si>
  <si>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</si>
  <si>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</si>
  <si>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</si>
  <si>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</si>
  <si>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</si>
  <si>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</si>
  <si>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</si>
  <si>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</si>
  <si>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</si>
  <si>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</si>
  <si>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</si>
  <si>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</si>
  <si>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</si>
  <si>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</si>
  <si>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</si>
  <si>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</si>
  <si>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</si>
  <si>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</si>
  <si>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</si>
  <si>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</si>
  <si>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</si>
  <si>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</si>
  <si>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</si>
  <si>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</si>
  <si>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</si>
  <si>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</si>
  <si>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</si>
  <si>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</si>
  <si>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</si>
  <si>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</si>
  <si>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</si>
  <si>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</si>
  <si>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</si>
  <si>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</si>
  <si>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</si>
  <si>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</si>
  <si>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</si>
  <si>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</si>
  <si>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</si>
  <si>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</si>
  <si>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</si>
  <si>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</si>
  <si>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</si>
  <si>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</si>
  <si>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</si>
  <si>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</si>
  <si>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</si>
  <si>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</si>
  <si>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</si>
  <si>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</si>
  <si>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</si>
  <si>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</si>
  <si>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</si>
  <si>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</si>
  <si>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</si>
  <si>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</si>
  <si>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</si>
  <si>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</si>
  <si>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</si>
  <si>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</si>
  <si>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</si>
  <si>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</si>
  <si>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</si>
  <si>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</si>
  <si>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</si>
  <si>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</si>
  <si>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</si>
  <si>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</si>
  <si>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</si>
  <si>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</si>
  <si>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</si>
  <si>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</si>
  <si>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</si>
  <si>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</si>
  <si>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</si>
  <si>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</si>
  <si>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</si>
  <si>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</si>
  <si>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</si>
  <si>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</si>
  <si>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</si>
  <si>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</si>
  <si>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</si>
  <si>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</si>
  <si>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</si>
  <si>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</si>
  <si>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</si>
  <si>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</si>
  <si>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</si>
  <si>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</si>
  <si>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</si>
  <si>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</si>
  <si>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</si>
  <si>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</si>
  <si>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</si>
  <si>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</si>
  <si>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</si>
  <si>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</si>
  <si>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</si>
  <si>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</si>
  <si>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</si>
  <si>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</si>
  <si>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</si>
  <si>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</si>
  <si>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</si>
  <si>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</si>
  <si>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</si>
  <si>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</si>
  <si>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</si>
  <si>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</si>
  <si>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</si>
  <si>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</si>
  <si>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</si>
  <si>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</si>
  <si>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</si>
  <si>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</si>
  <si>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</si>
  <si>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</si>
  <si>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</si>
  <si>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</si>
  <si>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</si>
  <si>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</si>
  <si>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</si>
  <si>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</si>
  <si>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</si>
  <si>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</si>
  <si>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</si>
  <si>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</si>
  <si>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</si>
  <si>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</si>
  <si>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</si>
  <si>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</si>
  <si>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</si>
  <si>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</si>
  <si>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</si>
  <si>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</si>
  <si>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</si>
  <si>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</si>
  <si>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</si>
  <si>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</si>
  <si>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</si>
  <si>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</si>
  <si>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</si>
  <si>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</si>
  <si>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</si>
  <si>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</si>
  <si>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</si>
  <si>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</si>
  <si>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</si>
  <si>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</si>
  <si>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</si>
  <si>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</si>
  <si>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</si>
  <si>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</si>
  <si>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</si>
  <si>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</si>
  <si>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</si>
  <si>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</si>
  <si>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</si>
  <si>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</si>
  <si>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</si>
  <si>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</si>
  <si>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</si>
  <si>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</si>
  <si>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</si>
  <si>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</si>
  <si>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</si>
  <si>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</si>
  <si>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</si>
  <si>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</si>
  <si>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</si>
  <si>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</si>
  <si>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</si>
  <si>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</si>
  <si>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</si>
  <si>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</si>
  <si>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</si>
  <si>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</si>
  <si>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</si>
  <si>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</si>
  <si>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</si>
  <si>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</si>
  <si>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</si>
  <si>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</si>
  <si>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</si>
  <si>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</si>
  <si>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</si>
  <si>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</si>
  <si>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</si>
  <si>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</si>
  <si>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</si>
  <si>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</si>
  <si>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</si>
  <si>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</si>
  <si>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</si>
  <si>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</si>
  <si>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</si>
  <si>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</si>
  <si>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</si>
  <si>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</si>
  <si>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</si>
  <si>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</si>
  <si>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</si>
  <si>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</si>
  <si>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</si>
  <si>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</si>
  <si>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</si>
  <si>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</si>
  <si>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</si>
  <si>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</si>
  <si>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</si>
  <si>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</si>
  <si>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</si>
  <si>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</si>
  <si>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</si>
  <si>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</si>
  <si>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</si>
  <si>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</si>
  <si>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</si>
  <si>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</si>
  <si>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</si>
  <si>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</si>
  <si>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</si>
  <si>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</si>
  <si>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</si>
  <si>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</si>
  <si>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</si>
  <si>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</si>
  <si>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</si>
  <si>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</si>
  <si>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</si>
  <si>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</si>
  <si>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</si>
  <si>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</si>
  <si>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</si>
  <si>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</si>
  <si>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</si>
  <si>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</si>
  <si>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</si>
  <si>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</si>
  <si>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</si>
  <si>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</si>
  <si>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</si>
  <si>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</si>
  <si>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</si>
  <si>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</si>
  <si>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</si>
  <si>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</si>
  <si>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</si>
  <si>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</si>
  <si>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</si>
  <si>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</si>
  <si>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</si>
  <si>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</si>
  <si>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</si>
  <si>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</si>
  <si>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</si>
  <si>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</si>
  <si>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</si>
  <si>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</si>
  <si>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</si>
  <si>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</si>
  <si>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</si>
  <si>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</si>
  <si>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</si>
  <si>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</si>
  <si>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</si>
  <si>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</si>
  <si>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</si>
  <si>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</si>
  <si>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</si>
  <si>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</si>
  <si>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</si>
  <si>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</si>
  <si>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</si>
  <si>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</si>
  <si>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</si>
  <si>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</si>
  <si>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</si>
  <si>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</si>
  <si>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</si>
  <si>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</si>
  <si>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</si>
  <si>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</si>
  <si>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</si>
  <si>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</si>
  <si>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</si>
  <si>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</si>
  <si>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</si>
  <si>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</si>
  <si>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</si>
  <si>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</si>
  <si>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</si>
  <si>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</si>
  <si>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</si>
  <si>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</si>
  <si>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</si>
  <si>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</si>
  <si>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</si>
  <si>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</si>
  <si>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</si>
  <si>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</si>
  <si>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</si>
  <si>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</si>
  <si>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</si>
  <si>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</si>
  <si>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</si>
  <si>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</si>
  <si>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</si>
  <si>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</si>
  <si>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</si>
  <si>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</si>
  <si>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</si>
  <si>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</si>
  <si>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</si>
  <si>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</si>
  <si>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</si>
  <si>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</si>
  <si>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</si>
  <si>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</si>
  <si>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</si>
  <si>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</si>
  <si>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</si>
  <si>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</si>
  <si>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</si>
  <si>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</si>
  <si>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</si>
  <si>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</si>
  <si>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</si>
  <si>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</si>
  <si>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</si>
  <si>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</si>
  <si>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</si>
  <si>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</si>
  <si>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</si>
  <si>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</si>
  <si>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</si>
  <si>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</si>
  <si>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</si>
  <si>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</si>
  <si>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</si>
  <si>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</si>
  <si>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</si>
  <si>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</si>
  <si>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</si>
  <si>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</si>
  <si>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</si>
  <si>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</si>
  <si>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</si>
  <si>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</si>
  <si>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</si>
  <si>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</si>
  <si>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</si>
  <si>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</si>
  <si>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</si>
  <si>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</si>
  <si>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</si>
  <si>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</si>
  <si>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</si>
  <si>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</si>
  <si>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</si>
  <si>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</si>
  <si>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</si>
  <si>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</si>
  <si>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</si>
  <si>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</si>
  <si>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</si>
  <si>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</si>
  <si>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</si>
  <si>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</si>
  <si>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</si>
  <si>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</si>
  <si>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</si>
  <si>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</si>
  <si>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</si>
  <si>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</si>
  <si>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</si>
  <si>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</si>
  <si>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</si>
  <si>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</si>
  <si>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</si>
  <si>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</si>
  <si>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</si>
  <si>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</si>
  <si>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</si>
  <si>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</si>
  <si>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</si>
  <si>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</si>
  <si>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</si>
  <si>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</si>
  <si>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</si>
  <si>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</si>
  <si>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</si>
  <si>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</si>
  <si>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</si>
  <si>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</si>
  <si>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</si>
  <si>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</si>
  <si>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</si>
  <si>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</si>
  <si>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</si>
  <si>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</si>
  <si>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</si>
  <si>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</si>
  <si>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</si>
  <si>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</si>
  <si>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</si>
  <si>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</si>
  <si>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</si>
  <si>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</si>
  <si>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</si>
  <si>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</si>
  <si>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</si>
  <si>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</si>
  <si>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</si>
  <si>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</si>
  <si>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</si>
  <si>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</si>
  <si>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</si>
  <si>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</si>
  <si>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</si>
  <si>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</si>
  <si>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</si>
  <si>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</si>
  <si>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</si>
  <si>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</si>
  <si>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</si>
  <si>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</si>
  <si>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</si>
  <si>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</si>
  <si>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</si>
  <si>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</si>
  <si>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</si>
  <si>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</si>
  <si>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</si>
  <si>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</si>
  <si>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</si>
  <si>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</si>
  <si>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</si>
  <si>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</si>
  <si>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</si>
  <si>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</si>
  <si>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</si>
  <si>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</si>
  <si>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</si>
  <si>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</si>
  <si>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</si>
  <si>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</si>
  <si>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</si>
  <si>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</si>
  <si>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</si>
  <si>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</si>
  <si>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</si>
  <si>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</si>
  <si>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</si>
  <si>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</si>
  <si>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</si>
  <si>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</si>
  <si>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</si>
  <si>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</si>
  <si>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</si>
  <si>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</si>
  <si>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</si>
  <si>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</si>
  <si>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</si>
  <si>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</si>
  <si>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</si>
  <si>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</si>
  <si>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</si>
  <si>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</si>
  <si>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</si>
  <si>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</si>
  <si>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</si>
  <si>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</si>
  <si>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</si>
  <si>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</si>
  <si>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</si>
  <si>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</si>
  <si>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</si>
  <si>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</si>
  <si>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</si>
  <si>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</si>
  <si>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</si>
  <si>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</si>
  <si>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</si>
  <si>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</si>
  <si>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</si>
  <si>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</si>
  <si>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</si>
  <si>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</si>
  <si>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</si>
  <si>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</si>
  <si>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</si>
  <si>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</si>
  <si>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</si>
  <si>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</si>
  <si>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</si>
  <si>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</si>
  <si>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</si>
  <si>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</si>
  <si>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</si>
  <si>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</si>
  <si>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</si>
  <si>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</si>
  <si>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</si>
  <si>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</si>
  <si>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</si>
  <si>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</si>
  <si>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</si>
  <si>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</si>
  <si>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</si>
  <si>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</si>
  <si>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</si>
  <si>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</si>
  <si>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</si>
  <si>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</si>
  <si>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</si>
  <si>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</si>
  <si>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</si>
  <si>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</si>
  <si>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</si>
  <si>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</si>
  <si>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</si>
  <si>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</si>
  <si>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</si>
  <si>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</si>
  <si>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</si>
  <si>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</si>
  <si>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</si>
  <si>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</si>
  <si>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</si>
  <si>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</si>
  <si>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</si>
  <si>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</si>
  <si>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</si>
  <si>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</si>
  <si>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</si>
  <si>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</si>
  <si>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</si>
  <si>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</si>
  <si>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</si>
  <si>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</si>
  <si>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</si>
  <si>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</si>
  <si>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</si>
  <si>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</si>
  <si>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</si>
  <si>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</si>
  <si>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</si>
  <si>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</si>
  <si>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</si>
  <si>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</si>
  <si>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</si>
  <si>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</si>
  <si>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</si>
  <si>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</si>
  <si>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</si>
  <si>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</si>
  <si>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</si>
  <si>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</si>
  <si>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</si>
  <si>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</si>
  <si>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</si>
  <si>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</si>
  <si>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</si>
  <si>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</si>
  <si>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</si>
  <si>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</si>
  <si>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</si>
  <si>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</si>
  <si>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</si>
  <si>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</si>
  <si>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</si>
  <si>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</si>
  <si>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</si>
  <si>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</si>
  <si>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</si>
  <si>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</si>
  <si>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</si>
  <si>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</si>
  <si>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</si>
  <si>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</si>
  <si>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</si>
  <si>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</si>
  <si>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</si>
  <si>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</si>
  <si>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</si>
  <si>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</si>
  <si>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</si>
  <si>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</si>
  <si>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</si>
  <si>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</si>
  <si>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</si>
  <si>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</si>
  <si>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</si>
  <si>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</si>
  <si>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</si>
  <si>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</si>
  <si>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</si>
  <si>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</si>
  <si>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</si>
  <si>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</si>
  <si>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</si>
  <si>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</si>
  <si>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</si>
  <si>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</si>
  <si>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</si>
  <si>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</si>
  <si>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</si>
  <si>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</si>
  <si>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</si>
  <si>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</si>
  <si>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</si>
  <si>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</si>
  <si>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</si>
  <si>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</si>
  <si>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</si>
  <si>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</si>
  <si>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</si>
  <si>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</si>
  <si>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</si>
  <si>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</si>
  <si>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</si>
  <si>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</si>
  <si>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</si>
  <si>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</si>
  <si>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</si>
  <si>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</si>
  <si>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</si>
  <si>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</si>
  <si>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</si>
  <si>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</si>
  <si>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</si>
  <si>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</si>
  <si>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</si>
  <si>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</si>
  <si>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</si>
  <si>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</si>
  <si>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</si>
  <si>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</si>
  <si>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</si>
  <si>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</si>
  <si>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</si>
  <si>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</si>
  <si>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</si>
  <si>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</si>
  <si>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</si>
  <si>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</si>
  <si>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</si>
  <si>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</si>
  <si>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</si>
  <si>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</si>
  <si>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</si>
  <si>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</si>
  <si>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</si>
  <si>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</si>
  <si>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</si>
  <si>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</si>
  <si>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</si>
  <si>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</si>
  <si>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</si>
  <si>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</si>
  <si>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</si>
  <si>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</si>
  <si>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</si>
  <si>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</si>
  <si>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</si>
  <si>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</si>
  <si>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</si>
  <si>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</si>
  <si>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</si>
  <si>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</si>
  <si>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</si>
  <si>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</si>
  <si>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</si>
  <si>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</si>
  <si>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</si>
  <si>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</si>
  <si>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</si>
  <si>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</si>
  <si>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</si>
  <si>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</si>
  <si>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</si>
  <si>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</si>
  <si>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</si>
  <si>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</si>
  <si>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</si>
  <si>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</si>
  <si>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</si>
  <si>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</si>
  <si>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</si>
  <si>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</si>
  <si>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</si>
  <si>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</si>
  <si>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</si>
  <si>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</si>
  <si>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</si>
  <si>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</si>
  <si>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</si>
  <si>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</si>
  <si>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</si>
  <si>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</si>
  <si>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</si>
  <si>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</si>
  <si>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</si>
  <si>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</si>
  <si>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</si>
  <si>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</si>
  <si>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</si>
  <si>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</si>
  <si>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</si>
  <si>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</si>
  <si>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</si>
  <si>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</si>
  <si>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</si>
  <si>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</si>
  <si>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</si>
  <si>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</si>
  <si>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</si>
  <si>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</si>
  <si>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</si>
  <si>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</si>
  <si>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</si>
  <si>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</si>
  <si>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</si>
  <si>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</si>
  <si>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</si>
  <si>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</si>
  <si>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</si>
  <si>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</si>
  <si>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</si>
  <si>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</si>
  <si>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</si>
  <si>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</si>
  <si>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</si>
  <si>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</si>
  <si>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</si>
  <si>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</si>
  <si>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</si>
  <si>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</si>
  <si>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</si>
  <si>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</si>
  <si>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</si>
  <si>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</si>
  <si>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</si>
  <si>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</si>
  <si>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</si>
  <si>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</si>
  <si>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</si>
  <si>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</si>
  <si>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</si>
  <si>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</si>
  <si>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</si>
  <si>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</si>
  <si>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</si>
  <si>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</si>
  <si>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</si>
  <si>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</si>
  <si>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</si>
  <si>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</si>
  <si>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</si>
  <si>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</si>
  <si>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</si>
  <si>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</si>
  <si>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</si>
  <si>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</si>
  <si>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</si>
  <si>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</si>
  <si>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</si>
  <si>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</si>
  <si>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</si>
  <si>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</si>
  <si>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</si>
  <si>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</si>
  <si>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</si>
  <si>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</si>
  <si>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</si>
  <si>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</si>
  <si>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</si>
  <si>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</si>
  <si>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</si>
  <si>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</si>
  <si>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</si>
  <si>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</si>
  <si>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</si>
  <si>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</si>
  <si>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</si>
  <si>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</si>
  <si>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</si>
  <si>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</si>
  <si>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</si>
  <si>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</si>
  <si>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</si>
  <si>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</si>
  <si>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</si>
  <si>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</si>
  <si>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</si>
  <si>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</si>
  <si>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</si>
  <si>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</si>
  <si>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</si>
  <si>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</si>
  <si>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</si>
  <si>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</si>
  <si>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</si>
  <si>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</si>
  <si>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</si>
  <si>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</si>
  <si>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</si>
  <si>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</si>
  <si>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</si>
  <si>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</si>
  <si>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</si>
  <si>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</si>
  <si>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</si>
  <si>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</si>
  <si>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</si>
  <si>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</si>
  <si>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</si>
  <si>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</si>
  <si>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</si>
  <si>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</si>
  <si>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</si>
  <si>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</si>
  <si>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</si>
  <si>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</si>
  <si>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</si>
  <si>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</si>
  <si>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</si>
  <si>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</si>
  <si>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</si>
  <si>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</si>
  <si>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</si>
  <si>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</si>
  <si>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</si>
  <si>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</si>
  <si>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</si>
  <si>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</si>
  <si>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</si>
  <si>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</si>
  <si>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</si>
  <si>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</si>
  <si>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</si>
  <si>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</si>
  <si>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</si>
  <si>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</si>
  <si>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</si>
  <si>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</si>
  <si>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</si>
  <si>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</si>
  <si>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</si>
  <si>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</si>
  <si>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</si>
  <si>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</si>
  <si>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</si>
  <si>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</si>
  <si>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</si>
  <si>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</si>
  <si>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</si>
  <si>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</si>
  <si>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</si>
  <si>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</si>
  <si>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</si>
  <si>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</si>
  <si>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</si>
  <si>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</si>
  <si>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</si>
  <si>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</si>
  <si>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</si>
  <si>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</si>
  <si>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</si>
  <si>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</si>
  <si>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</si>
  <si>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</si>
  <si>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</si>
  <si>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</si>
  <si>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</si>
  <si>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</si>
  <si>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</si>
  <si>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</si>
  <si>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</si>
  <si>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</si>
  <si>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</si>
  <si>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</si>
  <si>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</si>
  <si>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</si>
  <si>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</si>
  <si>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</si>
  <si>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</si>
  <si>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</si>
  <si>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</si>
  <si>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</si>
  <si>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</si>
  <si>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</si>
  <si>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</si>
  <si>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</si>
  <si>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</si>
  <si>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</si>
  <si>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</si>
  <si>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</si>
  <si>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</si>
  <si>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</si>
  <si>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</si>
  <si>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</si>
  <si>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</si>
  <si>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</si>
  <si>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</si>
  <si>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</si>
  <si>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</si>
  <si>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</si>
  <si>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</si>
  <si>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</si>
  <si>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</si>
  <si>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</si>
  <si>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</si>
  <si>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</si>
  <si>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</si>
  <si>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</si>
  <si>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</si>
  <si>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</si>
  <si>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</si>
  <si>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</si>
  <si>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</si>
  <si>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</si>
  <si>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</si>
  <si>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</si>
  <si>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</si>
  <si>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</si>
  <si>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</si>
  <si>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</si>
  <si>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</si>
  <si>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</si>
  <si>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</si>
  <si>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</si>
  <si>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</si>
  <si>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</si>
  <si>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</si>
  <si>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</si>
  <si>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</si>
  <si>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</si>
  <si>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</si>
  <si>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</si>
  <si>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</si>
  <si>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</si>
  <si>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</si>
  <si>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</si>
  <si>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</si>
  <si>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</si>
  <si>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</si>
  <si>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</si>
  <si>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</si>
  <si>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</si>
  <si>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</si>
  <si>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</si>
  <si>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</si>
  <si>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</si>
  <si>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</si>
  <si>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</si>
  <si>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</si>
  <si>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</si>
  <si>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</si>
  <si>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</si>
  <si>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</si>
  <si>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</si>
  <si>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</si>
  <si>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</si>
  <si>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</si>
  <si>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</si>
  <si>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</si>
  <si>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</si>
  <si>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</si>
  <si>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</si>
  <si>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</si>
  <si>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</si>
  <si>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</si>
  <si>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</si>
  <si>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</si>
  <si>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</si>
  <si>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</si>
  <si>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</si>
  <si>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</si>
  <si>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</si>
  <si>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</si>
  <si>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</si>
  <si>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</si>
  <si>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</si>
  <si>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</si>
  <si>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</si>
  <si>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</si>
  <si>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</si>
  <si>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</si>
  <si>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</si>
  <si>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</si>
  <si>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</si>
  <si>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</si>
  <si>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</si>
  <si>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</si>
  <si>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</si>
  <si>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</si>
  <si>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</si>
  <si>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</si>
  <si>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</si>
  <si>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</si>
  <si>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</si>
  <si>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</si>
  <si>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</si>
  <si>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</si>
  <si>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</si>
  <si>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</si>
  <si>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</si>
  <si>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</si>
  <si>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</si>
  <si>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</si>
  <si>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</si>
  <si>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</si>
  <si>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</si>
  <si>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</si>
  <si>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</si>
  <si>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</si>
  <si>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</si>
  <si>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</si>
  <si>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</si>
  <si>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</si>
  <si>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</si>
  <si>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</si>
  <si>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</si>
  <si>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</si>
  <si>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</si>
  <si>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</si>
  <si>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</si>
  <si>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</si>
  <si>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</si>
  <si>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</si>
  <si>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</si>
  <si>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</si>
  <si>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</si>
  <si>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</si>
  <si>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</si>
  <si>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</si>
  <si>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</si>
  <si>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</si>
  <si>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</si>
  <si>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</si>
  <si>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</si>
  <si>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</si>
  <si>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</si>
  <si>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</si>
  <si>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</si>
  <si>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</si>
  <si>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</si>
  <si>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</si>
  <si>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</si>
  <si>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</si>
  <si>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</si>
  <si>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</si>
  <si>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</si>
  <si>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</si>
  <si>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</si>
  <si>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</si>
  <si>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</si>
  <si>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</si>
  <si>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</si>
  <si>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</si>
  <si>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</si>
  <si>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</si>
  <si>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</si>
  <si>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</si>
  <si>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</si>
  <si>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</si>
  <si>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</si>
  <si>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</si>
  <si>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</si>
  <si>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</si>
  <si>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</si>
  <si>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</si>
  <si>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</si>
  <si>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</si>
  <si>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</si>
  <si>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</si>
  <si>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</si>
  <si>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</si>
  <si>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</si>
  <si>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</si>
  <si>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</si>
  <si>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</si>
  <si>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</si>
  <si>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</si>
  <si>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</si>
  <si>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</si>
  <si>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</si>
  <si>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</si>
  <si>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</si>
  <si>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</si>
  <si>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</si>
  <si>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</si>
  <si>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</si>
  <si>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</si>
  <si>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</si>
  <si>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</si>
  <si>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</si>
  <si>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</si>
  <si>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</si>
  <si>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</si>
  <si>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</si>
  <si>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</si>
  <si>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</si>
  <si>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</si>
  <si>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</si>
  <si>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</si>
  <si>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</si>
  <si>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</si>
  <si>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</si>
  <si>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</si>
  <si>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</si>
  <si>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</si>
  <si>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</si>
  <si>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</si>
  <si>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</si>
  <si>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</si>
  <si>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</si>
  <si>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</si>
  <si>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</si>
  <si>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</si>
  <si>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</si>
  <si>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</si>
  <si>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</si>
  <si>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</si>
  <si>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</si>
  <si>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</si>
  <si>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</si>
  <si>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</si>
  <si>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</si>
  <si>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</si>
  <si>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</si>
  <si>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</si>
  <si>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</si>
  <si>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</si>
  <si>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</si>
  <si>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</si>
  <si>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</si>
  <si>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</si>
  <si>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</si>
  <si>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</si>
  <si>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</si>
  <si>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</si>
  <si>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</si>
  <si>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</si>
  <si>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</si>
  <si>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</si>
  <si>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</si>
  <si>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</si>
  <si>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</si>
  <si>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</si>
  <si>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</si>
  <si>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</si>
  <si>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</si>
  <si>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</si>
  <si>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</si>
  <si>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</si>
  <si>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</si>
  <si>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</si>
  <si>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</si>
  <si>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</si>
  <si>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</si>
  <si>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</si>
  <si>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</si>
  <si>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</si>
  <si>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</si>
  <si>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</si>
  <si>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</si>
  <si>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</si>
  <si>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</si>
  <si>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</si>
  <si>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</si>
  <si>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</si>
  <si>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</si>
  <si>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</si>
  <si>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</si>
  <si>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</si>
  <si>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</si>
  <si>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</si>
  <si>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</si>
  <si>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</si>
  <si>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</si>
  <si>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</si>
  <si>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</si>
  <si>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</si>
  <si>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</si>
  <si>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</si>
  <si>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</si>
  <si>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</si>
  <si>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</si>
  <si>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</si>
  <si>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</si>
  <si>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</si>
  <si>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</si>
  <si>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</si>
  <si>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</si>
  <si>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</si>
  <si>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</si>
  <si>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</si>
  <si>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</si>
  <si>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</si>
  <si>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</si>
  <si>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</si>
  <si>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</si>
  <si>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</si>
  <si>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</si>
  <si>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</si>
  <si>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</si>
  <si>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</si>
  <si>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</si>
  <si>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</si>
  <si>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</si>
  <si>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</si>
  <si>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</si>
  <si>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</si>
  <si>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</si>
  <si>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</si>
  <si>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</si>
  <si>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</si>
  <si>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</si>
  <si>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</si>
  <si>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</si>
  <si>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</si>
  <si>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</si>
  <si>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</si>
  <si>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</si>
  <si>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</si>
  <si>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</si>
  <si>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</si>
  <si>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</si>
  <si>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</si>
  <si>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</si>
  <si>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</si>
  <si>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</si>
  <si>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</si>
  <si>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</si>
  <si>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</si>
  <si>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</si>
  <si>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</si>
  <si>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</si>
  <si>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</si>
  <si>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</si>
  <si>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</si>
  <si>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</si>
  <si>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</si>
  <si>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</si>
  <si>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</si>
  <si>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</si>
  <si>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</si>
  <si>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</si>
  <si>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</si>
  <si>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</si>
  <si>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</si>
  <si>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</si>
  <si>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</si>
  <si>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</si>
  <si>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</si>
  <si>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</si>
  <si>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</si>
  <si>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</si>
  <si>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</si>
  <si>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</si>
  <si>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</si>
  <si>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</si>
  <si>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</si>
  <si>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</si>
  <si>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</si>
  <si>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</si>
  <si>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</si>
  <si>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</si>
  <si>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</si>
  <si>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</si>
  <si>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</si>
  <si>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</si>
  <si>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</si>
  <si>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</si>
  <si>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</si>
  <si>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</si>
  <si>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</si>
  <si>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</si>
  <si>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</si>
  <si>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</si>
  <si>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</si>
  <si>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</si>
  <si>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</si>
  <si>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</si>
  <si>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</si>
  <si>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</si>
  <si>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</si>
  <si>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</si>
  <si>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</si>
  <si>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</si>
  <si>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</si>
  <si>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</si>
  <si>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</si>
  <si>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</si>
  <si>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</si>
  <si>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</si>
  <si>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</si>
  <si>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</si>
  <si>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</si>
  <si>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</si>
  <si>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</si>
  <si>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</si>
  <si>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</si>
  <si>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</si>
  <si>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</si>
  <si>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</si>
  <si>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</si>
  <si>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</si>
  <si>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</si>
  <si>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</si>
  <si>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</si>
  <si>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</si>
  <si>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</si>
  <si>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</si>
  <si>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</si>
  <si>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</si>
  <si>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</si>
  <si>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</si>
  <si>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</si>
  <si>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</si>
  <si>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</si>
  <si>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</si>
  <si>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</si>
  <si>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</si>
  <si>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</si>
  <si>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</si>
  <si>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</si>
  <si>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</si>
  <si>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</si>
  <si>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</si>
  <si>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</si>
  <si>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</si>
  <si>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</si>
  <si>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</si>
  <si>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</si>
  <si>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</si>
  <si>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</si>
  <si>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</si>
  <si>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</si>
  <si>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</si>
  <si>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</si>
  <si>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</si>
  <si>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</si>
  <si>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</si>
  <si>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</si>
  <si>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</si>
  <si>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</si>
  <si>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</si>
  <si>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</si>
  <si>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</si>
  <si>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</si>
  <si>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</si>
  <si>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</si>
  <si>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</si>
  <si>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</si>
  <si>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</si>
  <si>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</si>
  <si>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</si>
  <si>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</si>
  <si>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</si>
  <si>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</si>
  <si>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</si>
  <si>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</si>
  <si>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</si>
  <si>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</si>
  <si>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</si>
  <si>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</si>
  <si>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</si>
  <si>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</si>
  <si>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</si>
  <si>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</si>
  <si>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</si>
  <si>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</si>
  <si>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</si>
  <si>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</si>
  <si>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</si>
  <si>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</si>
  <si>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</si>
  <si>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</si>
  <si>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</si>
  <si>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</si>
  <si>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</si>
  <si>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</si>
  <si>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</si>
  <si>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</si>
  <si>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</si>
  <si>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</si>
  <si>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</si>
  <si>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</si>
  <si>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</si>
  <si>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</si>
  <si>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</si>
  <si>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</si>
  <si>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</si>
  <si>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</si>
  <si>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</si>
  <si>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</si>
  <si>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</si>
  <si>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</si>
  <si>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</si>
  <si>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</si>
  <si>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</si>
  <si>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</si>
  <si>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</si>
  <si>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</si>
  <si>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</si>
  <si>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</si>
  <si>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</si>
  <si>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</si>
  <si>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</si>
  <si>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</si>
  <si>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</si>
  <si>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</si>
  <si>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</si>
  <si>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</si>
  <si>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</si>
  <si>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</si>
  <si>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</si>
  <si>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</si>
  <si>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</si>
  <si>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</si>
  <si>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</si>
  <si>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</si>
  <si>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</si>
  <si>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</si>
  <si>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</si>
  <si>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</si>
  <si>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</si>
  <si>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</si>
  <si>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</si>
  <si>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</si>
  <si>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</si>
  <si>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</si>
  <si>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</si>
  <si>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</si>
  <si>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</si>
  <si>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</si>
  <si>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</si>
  <si>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</si>
  <si>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</si>
  <si>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</si>
  <si>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</si>
  <si>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</si>
  <si>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</si>
  <si>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</si>
  <si>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</si>
  <si>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</si>
  <si>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</si>
  <si>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</si>
  <si>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</si>
  <si>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</si>
  <si>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</si>
  <si>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</si>
  <si>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</si>
  <si>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</si>
  <si>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</si>
  <si>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</si>
  <si>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</si>
  <si>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</si>
  <si>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</si>
  <si>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</si>
  <si>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</si>
  <si>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</si>
  <si>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</si>
  <si>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</si>
  <si>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</si>
  <si>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</si>
  <si>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</si>
  <si>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</si>
  <si>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</si>
  <si>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</si>
  <si>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</si>
  <si>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</si>
  <si>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</si>
  <si>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</si>
  <si>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</si>
  <si>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</si>
  <si>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</si>
  <si>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</si>
  <si>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</si>
  <si>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</si>
  <si>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</si>
  <si>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</si>
  <si>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</si>
  <si>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</si>
  <si>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</si>
  <si>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</si>
  <si>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</si>
  <si>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</si>
  <si>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</si>
  <si>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</si>
  <si>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</si>
  <si>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</si>
  <si>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</si>
  <si>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</si>
  <si>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</si>
  <si>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</si>
  <si>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</si>
  <si>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</si>
  <si>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</si>
  <si>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</si>
  <si>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</si>
  <si>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</si>
  <si>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</si>
  <si>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</si>
  <si>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</si>
  <si>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</si>
  <si>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</si>
  <si>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</si>
  <si>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</si>
  <si>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</si>
  <si>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</si>
  <si>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</si>
  <si>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</si>
  <si>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</si>
  <si>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</si>
  <si>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</si>
  <si>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</si>
  <si>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</si>
  <si>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</si>
  <si>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</si>
  <si>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</si>
  <si>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</si>
  <si>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</si>
  <si>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</si>
  <si>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</si>
  <si>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</si>
  <si>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</si>
  <si>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</si>
  <si>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</si>
  <si>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</si>
  <si>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</si>
  <si>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</si>
  <si>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</si>
  <si>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</si>
  <si>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</si>
  <si>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</si>
  <si>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</si>
  <si>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</si>
  <si>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</si>
  <si>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</si>
  <si>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</si>
  <si>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</si>
  <si>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</si>
  <si>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</si>
  <si>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</si>
  <si>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</si>
  <si>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</si>
  <si>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</si>
  <si>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</si>
  <si>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</si>
  <si>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</si>
  <si>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</si>
  <si>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</si>
  <si>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</si>
  <si>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</si>
  <si>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</si>
  <si>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</si>
  <si>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</si>
  <si>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</si>
  <si>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</si>
  <si>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</si>
  <si>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</si>
  <si>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</si>
  <si>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</si>
  <si>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</si>
  <si>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</si>
  <si>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</si>
  <si>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</si>
  <si>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</si>
  <si>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</si>
  <si>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</si>
  <si>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</si>
  <si>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</si>
  <si>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</si>
  <si>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</si>
  <si>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</si>
  <si>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</si>
  <si>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</si>
  <si>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</si>
  <si>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</si>
  <si>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</si>
  <si>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</si>
  <si>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</si>
  <si>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</si>
  <si>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</si>
  <si>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</si>
  <si>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</si>
  <si>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</si>
  <si>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</si>
  <si>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Claremont School District</t>
  </si>
  <si>
    <t>8/13</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</si>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</sst>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selection activeCell="F51" sqref="F5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101</v>
      </c>
      <c r="C2" s="21">
        <v>101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3596820.87+394+200+3000+5000-3323444.71+252152.99+316.59</f>
        <v>534439.74000000011</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8802830.4499999993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27147.36+1695559.56</f>
        <v>1722706.9200000002</v>
      </c>
      <c r="G12" s="18">
        <v>81338.509999999995</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14821.59</v>
      </c>
      <c r="G13" s="18"/>
      <c r="H13" s="18">
        <v>1954848.07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f>195339.77-31299.58+989.77</f>
        <v>165029.96</v>
      </c>
      <c r="G14" s="18"/>
      <c r="H14" s="18">
        <v>-69</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11099.3</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262324.43</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2699322.64</v>
      </c>
      <c r="G19" s="41">
        <f>SUM(G9:G18)</f>
        <v>92437.81</v>
      </c>
      <c r="H19" s="41">
        <f>SUM(H9:H18)</f>
        <v>1954779.07</v>
      </c>
      <c r="I19" s="41">
        <f>SUM(I9:I18)</f>
        <v>0</v>
      </c>
      <c r="J19" s="41">
        <f>SUM(J9:J18)</f>
        <v>8802830.4499999993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f>208902.83+1527965.88</f>
        <v>1736868.71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-27390.9</v>
      </c>
      <c r="G23" s="18">
        <f>58009.08+67927.05</f>
        <v>125936.13</v>
      </c>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400134.54</v>
      </c>
      <c r="G24" s="18">
        <f>-7639.11+450.19+2112.46+49.75+103.84</f>
        <v>-4922.87</v>
      </c>
      <c r="H24" s="18">
        <f>65006.42+50642.06+113298.88+11113.04+1063.1-11453.12+2454.78+995.86-11.36+5766.44+7938.74+81.45</f>
        <v>246896.29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f>1772.51+535.21+8865.17</f>
        <v>11172.89</v>
      </c>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-44315.82+399900</f>
        <v>355584.18</v>
      </c>
      <c r="G28" s="18">
        <f>54600.89</f>
        <v>54600.89</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468677.47-276738.85+130672.88+18-97.56-1395.61-225054.25+2803.61+4381.56-995.86+300+70383.93-99428.54+1936.46</f>
        <v>75463.24000000002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5960.93</v>
      </c>
      <c r="H30" s="18">
        <v>17129.8</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f>4.2+23160+9996.43-299.38+1871.64</f>
        <v>34732.890000000007</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849696.84</v>
      </c>
      <c r="G32" s="41">
        <f>SUM(G22:G31)</f>
        <v>181575.08000000002</v>
      </c>
      <c r="H32" s="41">
        <f>SUM(H22:H31)</f>
        <v>2000894.8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426494</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392657</v>
      </c>
      <c r="G48" s="18">
        <f>-144954.02+55816.75</f>
        <v>-89137.26999999999</v>
      </c>
      <c r="H48" s="18">
        <f>-56801.16+10685.43</f>
        <v>-46115.73</v>
      </c>
      <c r="I48" s="18"/>
      <c r="J48" s="13">
        <f>SUM(I460)</f>
        <v>8802830.4499999993</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1030474.8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1849625.8</v>
      </c>
      <c r="G51" s="41">
        <f>SUM(G35:G50)</f>
        <v>-89137.26999999999</v>
      </c>
      <c r="H51" s="41">
        <f>SUM(H35:H50)</f>
        <v>-46115.73</v>
      </c>
      <c r="I51" s="41">
        <f>SUM(I35:I50)</f>
        <v>0</v>
      </c>
      <c r="J51" s="41">
        <f>SUM(J35:J50)</f>
        <v>8802830.4499999993</v>
      </c>
      <c r="K51" s="45" t="s">
        <v>288</v>
      </c>
      <c r="L51" s="45" t="s">
        <v>288</v>
      </c>
      <c r="N51" s="262"/>
    </row>
    <row r="52" spans="1:14" s="3" customFormat="1" ht="12.2" customHeight="1" thickTop="1" x14ac:dyDescent="0.15">
      <c r="A52" s="38" t="s">
        <v>455</v>
      </c>
      <c r="B52" s="39" t="s">
        <v>289</v>
      </c>
      <c r="C52" s="6">
        <v>37</v>
      </c>
      <c r="D52" s="39" t="s">
        <v>653</v>
      </c>
      <c r="E52" s="39"/>
      <c r="F52" s="41">
        <f>F51+F32</f>
        <v>2699322.64</v>
      </c>
      <c r="G52" s="41">
        <f>G51+G32</f>
        <v>92437.810000000027</v>
      </c>
      <c r="H52" s="41">
        <f>H51+H32</f>
        <v>1954779.07</v>
      </c>
      <c r="I52" s="41">
        <f>I51+I32</f>
        <v>0</v>
      </c>
      <c r="J52" s="41">
        <f>J51+J32</f>
        <v>8802830.4499999993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15706271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15706271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5193.6099999999997</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412850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f>2284.15+5426.92</f>
        <v>7711.07</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1833.04</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50854.47</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478442.18999999994</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f>10224.25+65126.04</f>
        <v>75350.290000000008</v>
      </c>
      <c r="G96" s="18"/>
      <c r="H96" s="18"/>
      <c r="I96" s="18"/>
      <c r="J96" s="18">
        <v>465102.17</v>
      </c>
      <c r="K96" s="24" t="s">
        <v>288</v>
      </c>
      <c r="L96" s="24" t="s">
        <v>288</v>
      </c>
      <c r="M96" s="8"/>
      <c r="N96" s="264"/>
    </row>
    <row r="97" spans="1:14" s="3" customFormat="1" ht="12.2" customHeight="1" x14ac:dyDescent="0.15">
      <c r="A97" s="1" t="s">
        <v>503</v>
      </c>
      <c r="B97" s="2" t="s">
        <v>315</v>
      </c>
      <c r="C97" s="6">
        <v>12</v>
      </c>
      <c r="D97" s="2" t="s">
        <v>430</v>
      </c>
      <c r="E97" s="6">
        <v>1600</v>
      </c>
      <c r="F97" s="24" t="s">
        <v>288</v>
      </c>
      <c r="G97" s="18">
        <f>8425.45</f>
        <v>8425.4500000000007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f>16815.5+363.5+94810.74+500+3703.23+500+11160.92+1500+30000+698.29-371.6</f>
        <v>159680.58000000002</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3950.39</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143775.18</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382756.44000000006</v>
      </c>
      <c r="G111" s="41">
        <f>SUM(G96:G110)</f>
        <v>8425.4500000000007</v>
      </c>
      <c r="H111" s="41">
        <f>SUM(H96:H110)</f>
        <v>0</v>
      </c>
      <c r="I111" s="41">
        <f>SUM(I96:I110)</f>
        <v>0</v>
      </c>
      <c r="J111" s="41">
        <f>SUM(J96:J110)</f>
        <v>465102.17</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16567469.629999999</v>
      </c>
      <c r="G112" s="41">
        <f>G60+G111</f>
        <v>8425.4500000000007</v>
      </c>
      <c r="H112" s="41">
        <f>H60+H79+H94+H111</f>
        <v>0</v>
      </c>
      <c r="I112" s="41">
        <f>I60+I111</f>
        <v>0</v>
      </c>
      <c r="J112" s="41">
        <f>J60+J111</f>
        <v>465102.17</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15923257.84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1353502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17278755.050000001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649781.9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27732.82</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3054</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10776.04+1911</f>
        <v>12687.04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12747.03</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693315.75</v>
      </c>
      <c r="G136" s="41">
        <f>SUM(G123:G135)</f>
        <v>12687.04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17972070.800000001</v>
      </c>
      <c r="G140" s="41">
        <f>G121+SUM(G136:G137)</f>
        <v>12687.04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991868.99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34028.3+38178+100467.89+25063.22+4196.9+61748.29+57998.09+85586.5+10000+2399.32</f>
        <v>419666.50999999995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2148.62+18000+85270.09</f>
        <v>105418.70999999999</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f>67227.85+12716.69+1500+1305.47</f>
        <v>82750.010000000009</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435347.3+199624.95+12377.05+18204.77+15015.49</f>
        <v>680569.56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119942.71+534892.77+77483.23</f>
        <v>732318.71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568567.89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334000+114577.24</f>
        <v>448577.24</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576206.11+2164</f>
        <v>578370.11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568567.89</v>
      </c>
      <c r="G163" s="41">
        <f>SUM(G150:G162)</f>
        <v>680569.56</v>
      </c>
      <c r="H163" s="41">
        <f>SUM(H150:H162)</f>
        <v>3358970.28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568567.89</v>
      </c>
      <c r="G170" s="41">
        <f>G147+G163+SUM(G164:G169)</f>
        <v>680569.56</v>
      </c>
      <c r="H170" s="41">
        <f>H147+H163+SUM(H164:H169)</f>
        <v>3358970.28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1000000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35108108.32</v>
      </c>
      <c r="G194" s="47">
        <f>G112+G140+G170+G193</f>
        <v>701682.05</v>
      </c>
      <c r="H194" s="47">
        <f>H112+H140+H170+H193</f>
        <v>3358970.28</v>
      </c>
      <c r="I194" s="47">
        <f>I112+I140+I170+I193</f>
        <v>0</v>
      </c>
      <c r="J194" s="47">
        <f>J112+J140+J193</f>
        <v>1465102.17</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3034227.1799999997</v>
      </c>
      <c r="G198" s="18">
        <v>1814725.45</v>
      </c>
      <c r="H198" s="18">
        <v>70789.649999999994</v>
      </c>
      <c r="I198" s="18">
        <v>155889.04</v>
      </c>
      <c r="J198" s="18">
        <v>1132.8</v>
      </c>
      <c r="K198" s="18">
        <v>2179.15</v>
      </c>
      <c r="L198" s="19">
        <f>SUM(F198:K198)</f>
        <v>5078943.2700000005</v>
      </c>
      <c r="M198" s="8"/>
      <c r="N198" s="264"/>
    </row>
    <row r="199" spans="1:14" s="3" customFormat="1" ht="12.2" customHeight="1" x14ac:dyDescent="0.15">
      <c r="A199" s="1" t="s">
        <v>439</v>
      </c>
      <c r="B199" s="2" t="s">
        <v>341</v>
      </c>
      <c r="C199" s="2" t="s">
        <v>291</v>
      </c>
      <c r="D199" s="2" t="s">
        <v>431</v>
      </c>
      <c r="E199" s="6">
        <v>1200</v>
      </c>
      <c r="F199" s="18">
        <v>2124762.2599999998</v>
      </c>
      <c r="G199" s="18">
        <v>897980.77999999991</v>
      </c>
      <c r="H199" s="18">
        <v>661678.80000000005</v>
      </c>
      <c r="I199" s="18">
        <v>23561.78</v>
      </c>
      <c r="J199" s="18">
        <v>5254.75</v>
      </c>
      <c r="K199" s="18">
        <v>0</v>
      </c>
      <c r="L199" s="19">
        <f>SUM(F199:K199)</f>
        <v>3713238.3699999996</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463344.08999999997</v>
      </c>
      <c r="G203" s="18">
        <v>238549.59999999998</v>
      </c>
      <c r="H203" s="18">
        <v>5550.42</v>
      </c>
      <c r="I203" s="18">
        <v>2617.1499999999996</v>
      </c>
      <c r="J203" s="18">
        <v>119.99</v>
      </c>
      <c r="K203" s="18">
        <v>0</v>
      </c>
      <c r="L203" s="19">
        <f t="shared" ref="L203:L209" si="0">SUM(F203:K203)</f>
        <v>710181.25</v>
      </c>
      <c r="M203" s="8"/>
      <c r="N203" s="264"/>
    </row>
    <row r="204" spans="1:14" s="3" customFormat="1" ht="12.2" customHeight="1" x14ac:dyDescent="0.15">
      <c r="A204" s="1" t="s">
        <v>443</v>
      </c>
      <c r="B204" s="2" t="s">
        <v>341</v>
      </c>
      <c r="C204" s="2" t="s">
        <v>295</v>
      </c>
      <c r="D204" s="2" t="s">
        <v>431</v>
      </c>
      <c r="E204" s="6">
        <v>2200</v>
      </c>
      <c r="F204" s="18">
        <v>197800.17</v>
      </c>
      <c r="G204" s="18">
        <v>65398.850000000006</v>
      </c>
      <c r="H204" s="18">
        <v>93965.489999999991</v>
      </c>
      <c r="I204" s="18">
        <v>11704.37</v>
      </c>
      <c r="J204" s="18">
        <v>79043.59</v>
      </c>
      <c r="K204" s="18">
        <v>0</v>
      </c>
      <c r="L204" s="19">
        <f t="shared" si="0"/>
        <v>447912.47</v>
      </c>
      <c r="M204" s="8"/>
      <c r="N204" s="264"/>
    </row>
    <row r="205" spans="1:14" s="3" customFormat="1" ht="12.2" customHeight="1" x14ac:dyDescent="0.15">
      <c r="A205" s="1" t="s">
        <v>444</v>
      </c>
      <c r="B205" s="2" t="s">
        <v>341</v>
      </c>
      <c r="C205" s="2" t="s">
        <v>296</v>
      </c>
      <c r="D205" s="2" t="s">
        <v>431</v>
      </c>
      <c r="E205" s="6">
        <v>2300</v>
      </c>
      <c r="F205" s="18">
        <v>3350.42</v>
      </c>
      <c r="G205" s="18">
        <v>279.89999999999998</v>
      </c>
      <c r="H205" s="18">
        <v>710493.03</v>
      </c>
      <c r="I205" s="18">
        <v>3032.67</v>
      </c>
      <c r="J205" s="18">
        <v>0</v>
      </c>
      <c r="K205" s="18">
        <v>2237.46</v>
      </c>
      <c r="L205" s="19">
        <f t="shared" si="0"/>
        <v>719393.48</v>
      </c>
      <c r="M205" s="8"/>
      <c r="N205" s="264"/>
    </row>
    <row r="206" spans="1:14" s="3" customFormat="1" ht="12.2" customHeight="1" x14ac:dyDescent="0.15">
      <c r="A206" s="1" t="s">
        <v>445</v>
      </c>
      <c r="B206" s="2" t="s">
        <v>341</v>
      </c>
      <c r="C206" s="2" t="s">
        <v>297</v>
      </c>
      <c r="D206" s="2" t="s">
        <v>431</v>
      </c>
      <c r="E206" s="6">
        <v>2400</v>
      </c>
      <c r="F206" s="18">
        <v>821995.82</v>
      </c>
      <c r="G206" s="18">
        <v>491565.87</v>
      </c>
      <c r="H206" s="18">
        <v>5194.1499999999996</v>
      </c>
      <c r="I206" s="18">
        <v>2999.26</v>
      </c>
      <c r="J206" s="18">
        <v>1695.75</v>
      </c>
      <c r="K206" s="18">
        <v>7152.8</v>
      </c>
      <c r="L206" s="19">
        <f t="shared" si="0"/>
        <v>1330603.6499999999</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352684.42000000004</v>
      </c>
      <c r="G208" s="18">
        <v>210459.7</v>
      </c>
      <c r="H208" s="18">
        <v>1033562.67</v>
      </c>
      <c r="I208" s="18">
        <v>146477.94</v>
      </c>
      <c r="J208" s="18">
        <v>2661.12</v>
      </c>
      <c r="K208" s="18">
        <v>0</v>
      </c>
      <c r="L208" s="19">
        <f t="shared" si="0"/>
        <v>1745845.85</v>
      </c>
      <c r="M208" s="8"/>
      <c r="N208" s="264"/>
    </row>
    <row r="209" spans="1:14" s="3" customFormat="1" ht="12.2" customHeight="1" x14ac:dyDescent="0.15">
      <c r="A209" s="1" t="s">
        <v>448</v>
      </c>
      <c r="B209" s="2" t="s">
        <v>341</v>
      </c>
      <c r="C209" s="2" t="s">
        <v>300</v>
      </c>
      <c r="D209" s="2" t="s">
        <v>431</v>
      </c>
      <c r="E209" s="6">
        <v>2700</v>
      </c>
      <c r="F209" s="18">
        <v>271646.24</v>
      </c>
      <c r="G209" s="18">
        <v>113480.85</v>
      </c>
      <c r="H209" s="18">
        <v>59629.760000000002</v>
      </c>
      <c r="I209" s="18">
        <v>20974.720000000001</v>
      </c>
      <c r="J209" s="18">
        <v>124231.84</v>
      </c>
      <c r="K209" s="18">
        <v>38.9</v>
      </c>
      <c r="L209" s="19">
        <f t="shared" si="0"/>
        <v>590002.30999999994</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2.5929960000000002E-3</v>
      </c>
      <c r="L210" s="19">
        <f>SUM(F210:K210)</f>
        <v>2.5929960000000002E-3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7269810.5999999996</v>
      </c>
      <c r="G212" s="41">
        <f t="shared" si="1"/>
        <v>3832441.0000000005</v>
      </c>
      <c r="H212" s="41">
        <f t="shared" si="1"/>
        <v>2640863.9699999997</v>
      </c>
      <c r="I212" s="41">
        <f t="shared" si="1"/>
        <v>367256.93000000005</v>
      </c>
      <c r="J212" s="41">
        <f t="shared" si="1"/>
        <v>214139.83999999997</v>
      </c>
      <c r="K212" s="41">
        <f t="shared" si="1"/>
        <v>11608.312592995999</v>
      </c>
      <c r="L212" s="41">
        <f t="shared" si="1"/>
        <v>14336120.652592998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1551121.47</v>
      </c>
      <c r="G216" s="18">
        <v>887488.98</v>
      </c>
      <c r="H216" s="18">
        <v>39737.850000000006</v>
      </c>
      <c r="I216" s="18">
        <v>51499.08</v>
      </c>
      <c r="J216" s="18">
        <v>15721.68</v>
      </c>
      <c r="K216" s="18">
        <v>120.3</v>
      </c>
      <c r="L216" s="19">
        <f>SUM(F216:K216)</f>
        <v>2545689.3600000003</v>
      </c>
      <c r="M216" s="8"/>
      <c r="N216" s="264"/>
    </row>
    <row r="217" spans="1:14" s="3" customFormat="1" ht="12.2" customHeight="1" x14ac:dyDescent="0.15">
      <c r="A217" s="1" t="s">
        <v>439</v>
      </c>
      <c r="B217" s="2" t="s">
        <v>346</v>
      </c>
      <c r="C217" s="2" t="s">
        <v>291</v>
      </c>
      <c r="D217" s="2" t="s">
        <v>431</v>
      </c>
      <c r="E217" s="6">
        <v>1200</v>
      </c>
      <c r="F217" s="18">
        <v>675414.21</v>
      </c>
      <c r="G217" s="18">
        <v>327614.88</v>
      </c>
      <c r="H217" s="18">
        <v>933709.17</v>
      </c>
      <c r="I217" s="18">
        <v>11229.630000000001</v>
      </c>
      <c r="J217" s="18">
        <v>48.12</v>
      </c>
      <c r="K217" s="18">
        <v>0</v>
      </c>
      <c r="L217" s="19">
        <f>SUM(F217:K217)</f>
        <v>1948016.01</v>
      </c>
      <c r="M217" s="8"/>
      <c r="N217" s="264"/>
    </row>
    <row r="218" spans="1:14" s="3" customFormat="1" ht="12.2" customHeight="1" x14ac:dyDescent="0.15">
      <c r="A218" s="1" t="s">
        <v>440</v>
      </c>
      <c r="B218" s="2" t="s">
        <v>346</v>
      </c>
      <c r="C218" s="2" t="s">
        <v>292</v>
      </c>
      <c r="D218" s="2" t="s">
        <v>431</v>
      </c>
      <c r="E218" s="6">
        <v>1300</v>
      </c>
      <c r="F218" s="18">
        <v>138497.04999999999</v>
      </c>
      <c r="G218" s="18">
        <v>71697.679999999993</v>
      </c>
      <c r="H218" s="18">
        <v>0</v>
      </c>
      <c r="I218" s="18">
        <v>10617.27</v>
      </c>
      <c r="J218" s="18">
        <v>7364.44</v>
      </c>
      <c r="K218" s="18">
        <v>0</v>
      </c>
      <c r="L218" s="19">
        <f>SUM(F218:K218)</f>
        <v>228176.43999999997</v>
      </c>
      <c r="M218" s="8"/>
      <c r="N218" s="264"/>
    </row>
    <row r="219" spans="1:14" s="3" customFormat="1" ht="12.2" customHeight="1" x14ac:dyDescent="0.15">
      <c r="A219" s="1" t="s">
        <v>441</v>
      </c>
      <c r="B219" s="2" t="s">
        <v>346</v>
      </c>
      <c r="C219" s="2" t="s">
        <v>293</v>
      </c>
      <c r="D219" s="2" t="s">
        <v>431</v>
      </c>
      <c r="E219" s="6">
        <v>1400</v>
      </c>
      <c r="F219" s="18">
        <v>49517</v>
      </c>
      <c r="G219" s="18">
        <v>4567.21</v>
      </c>
      <c r="H219" s="18">
        <v>6586.92</v>
      </c>
      <c r="I219" s="18">
        <v>8746.7099999999991</v>
      </c>
      <c r="J219" s="18">
        <v>1490.46</v>
      </c>
      <c r="K219" s="18">
        <v>0</v>
      </c>
      <c r="L219" s="19">
        <f>SUM(F219:K219)</f>
        <v>70908.3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378028.10000000003</v>
      </c>
      <c r="G221" s="18">
        <v>178944.53</v>
      </c>
      <c r="H221" s="18">
        <v>3019.29</v>
      </c>
      <c r="I221" s="18">
        <v>1939.29</v>
      </c>
      <c r="J221" s="18">
        <v>5865.49</v>
      </c>
      <c r="K221" s="18">
        <v>0</v>
      </c>
      <c r="L221" s="19">
        <f t="shared" ref="L221:L227" si="2">SUM(F221:K221)</f>
        <v>567796.70000000007</v>
      </c>
      <c r="M221" s="8"/>
      <c r="N221" s="264"/>
    </row>
    <row r="222" spans="1:14" s="3" customFormat="1" ht="12.2" customHeight="1" x14ac:dyDescent="0.15">
      <c r="A222" s="1" t="s">
        <v>443</v>
      </c>
      <c r="B222" s="2" t="s">
        <v>346</v>
      </c>
      <c r="C222" s="2" t="s">
        <v>295</v>
      </c>
      <c r="D222" s="2" t="s">
        <v>431</v>
      </c>
      <c r="E222" s="6">
        <v>2200</v>
      </c>
      <c r="F222" s="18">
        <v>103806.12</v>
      </c>
      <c r="G222" s="18">
        <v>50542.13</v>
      </c>
      <c r="H222" s="18">
        <v>39944.880000000005</v>
      </c>
      <c r="I222" s="18">
        <v>6927.68</v>
      </c>
      <c r="J222" s="18">
        <v>42882.369999999995</v>
      </c>
      <c r="K222" s="18">
        <v>0</v>
      </c>
      <c r="L222" s="19">
        <f t="shared" si="2"/>
        <v>244103.18</v>
      </c>
      <c r="M222" s="8"/>
      <c r="N222" s="264"/>
    </row>
    <row r="223" spans="1:14" s="3" customFormat="1" ht="12.2" customHeight="1" x14ac:dyDescent="0.15">
      <c r="A223" s="1" t="s">
        <v>444</v>
      </c>
      <c r="B223" s="2" t="s">
        <v>346</v>
      </c>
      <c r="C223" s="2" t="s">
        <v>296</v>
      </c>
      <c r="D223" s="2" t="s">
        <v>431</v>
      </c>
      <c r="E223" s="6">
        <v>2300</v>
      </c>
      <c r="F223" s="18">
        <v>1822.55</v>
      </c>
      <c r="G223" s="18">
        <v>152.26</v>
      </c>
      <c r="H223" s="18">
        <v>386490.22</v>
      </c>
      <c r="I223" s="18">
        <v>1649.7</v>
      </c>
      <c r="J223" s="18">
        <v>0</v>
      </c>
      <c r="K223" s="18">
        <v>1217.1199999999999</v>
      </c>
      <c r="L223" s="19">
        <f t="shared" si="2"/>
        <v>391331.85</v>
      </c>
      <c r="M223" s="8"/>
      <c r="N223" s="264"/>
    </row>
    <row r="224" spans="1:14" s="3" customFormat="1" ht="12.2" customHeight="1" x14ac:dyDescent="0.15">
      <c r="A224" s="1" t="s">
        <v>445</v>
      </c>
      <c r="B224" s="2" t="s">
        <v>346</v>
      </c>
      <c r="C224" s="2" t="s">
        <v>297</v>
      </c>
      <c r="D224" s="2" t="s">
        <v>431</v>
      </c>
      <c r="E224" s="6">
        <v>2400</v>
      </c>
      <c r="F224" s="18">
        <v>309639.27</v>
      </c>
      <c r="G224" s="18">
        <v>164687</v>
      </c>
      <c r="H224" s="18">
        <v>5082.9799999999996</v>
      </c>
      <c r="I224" s="18">
        <v>497.96</v>
      </c>
      <c r="J224" s="18">
        <v>0</v>
      </c>
      <c r="K224" s="18">
        <v>1936.12</v>
      </c>
      <c r="L224" s="19">
        <f t="shared" si="2"/>
        <v>481843.33</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198134.47999999998</v>
      </c>
      <c r="G226" s="18">
        <v>124454.42</v>
      </c>
      <c r="H226" s="18">
        <v>551698.65</v>
      </c>
      <c r="I226" s="18">
        <v>93699.06</v>
      </c>
      <c r="J226" s="18">
        <v>1447.58</v>
      </c>
      <c r="K226" s="18">
        <v>0</v>
      </c>
      <c r="L226" s="19">
        <f t="shared" si="2"/>
        <v>969434.19000000006</v>
      </c>
      <c r="M226" s="8"/>
      <c r="N226" s="264"/>
    </row>
    <row r="227" spans="1:14" s="3" customFormat="1" ht="12.2" customHeight="1" x14ac:dyDescent="0.15">
      <c r="A227" s="1" t="s">
        <v>448</v>
      </c>
      <c r="B227" s="2" t="s">
        <v>346</v>
      </c>
      <c r="C227" s="2" t="s">
        <v>300</v>
      </c>
      <c r="D227" s="2" t="s">
        <v>431</v>
      </c>
      <c r="E227" s="6">
        <v>2700</v>
      </c>
      <c r="F227" s="18">
        <v>147768.68</v>
      </c>
      <c r="G227" s="18">
        <v>61730.71</v>
      </c>
      <c r="H227" s="18">
        <v>64389.75</v>
      </c>
      <c r="I227" s="18">
        <v>11409.72</v>
      </c>
      <c r="J227" s="18">
        <v>67578.97</v>
      </c>
      <c r="K227" s="18">
        <v>21.16</v>
      </c>
      <c r="L227" s="19">
        <f t="shared" si="2"/>
        <v>352898.98999999993</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3553748.9299999997</v>
      </c>
      <c r="G230" s="41">
        <f>SUM(G216:G229)</f>
        <v>1871879.7999999996</v>
      </c>
      <c r="H230" s="41">
        <f>SUM(H216:H229)</f>
        <v>2030659.71</v>
      </c>
      <c r="I230" s="41">
        <f>SUM(I216:I229)</f>
        <v>198216.1</v>
      </c>
      <c r="J230" s="41">
        <f>SUM(J216:J229)</f>
        <v>142399.10999999999</v>
      </c>
      <c r="K230" s="41">
        <f t="shared" si="3"/>
        <v>3294.7</v>
      </c>
      <c r="L230" s="41">
        <f t="shared" si="3"/>
        <v>7800198.3500000006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1945776.2600000002</v>
      </c>
      <c r="G234" s="18">
        <v>1104743.79</v>
      </c>
      <c r="H234" s="18">
        <v>75545.669999999984</v>
      </c>
      <c r="I234" s="18">
        <v>113547.52999999998</v>
      </c>
      <c r="J234" s="18">
        <v>11612.18</v>
      </c>
      <c r="K234" s="18">
        <v>22011.89</v>
      </c>
      <c r="L234" s="19">
        <f>SUM(F234:K234)</f>
        <v>3273237.3200000003</v>
      </c>
      <c r="M234" s="8"/>
      <c r="N234" s="264"/>
    </row>
    <row r="235" spans="1:14" s="3" customFormat="1" ht="12.2" customHeight="1" x14ac:dyDescent="0.15">
      <c r="A235" s="1" t="s">
        <v>439</v>
      </c>
      <c r="B235" s="2" t="s">
        <v>350</v>
      </c>
      <c r="C235" s="2" t="s">
        <v>291</v>
      </c>
      <c r="D235" s="2" t="s">
        <v>431</v>
      </c>
      <c r="E235" s="6">
        <v>1200</v>
      </c>
      <c r="F235" s="18">
        <v>562532.81999999995</v>
      </c>
      <c r="G235" s="18">
        <v>235401.94999999998</v>
      </c>
      <c r="H235" s="18">
        <v>2112410.4700000002</v>
      </c>
      <c r="I235" s="18">
        <v>10914.810000000001</v>
      </c>
      <c r="J235" s="18">
        <v>63.420000000000009</v>
      </c>
      <c r="K235" s="18">
        <v>0</v>
      </c>
      <c r="L235" s="19">
        <f>SUM(F235:K235)</f>
        <v>2921323.47</v>
      </c>
      <c r="M235" s="8"/>
      <c r="N235" s="264"/>
    </row>
    <row r="236" spans="1:14" s="3" customFormat="1" ht="12.2" customHeight="1" x14ac:dyDescent="0.15">
      <c r="A236" s="1" t="s">
        <v>440</v>
      </c>
      <c r="B236" s="2" t="s">
        <v>350</v>
      </c>
      <c r="C236" s="2" t="s">
        <v>292</v>
      </c>
      <c r="D236" s="2" t="s">
        <v>431</v>
      </c>
      <c r="E236" s="6">
        <v>1300</v>
      </c>
      <c r="F236" s="18">
        <v>334207.17000000004</v>
      </c>
      <c r="G236" s="18">
        <v>172138.38</v>
      </c>
      <c r="H236" s="18">
        <v>552.65</v>
      </c>
      <c r="I236" s="18">
        <v>40697.710000000006</v>
      </c>
      <c r="J236" s="18">
        <v>26148.39</v>
      </c>
      <c r="K236" s="18">
        <v>0</v>
      </c>
      <c r="L236" s="19">
        <f>SUM(F236:K236)</f>
        <v>573744.30000000005</v>
      </c>
      <c r="M236" s="8"/>
      <c r="N236" s="264"/>
    </row>
    <row r="237" spans="1:14" s="3" customFormat="1" ht="12.2" customHeight="1" x14ac:dyDescent="0.15">
      <c r="A237" s="1" t="s">
        <v>441</v>
      </c>
      <c r="B237" s="2" t="s">
        <v>350</v>
      </c>
      <c r="C237" s="2" t="s">
        <v>293</v>
      </c>
      <c r="D237" s="2" t="s">
        <v>431</v>
      </c>
      <c r="E237" s="6">
        <v>1400</v>
      </c>
      <c r="F237" s="18">
        <v>244718.76</v>
      </c>
      <c r="G237" s="18">
        <v>47371.61</v>
      </c>
      <c r="H237" s="18">
        <v>58223.909999999996</v>
      </c>
      <c r="I237" s="18">
        <v>8766.369999999999</v>
      </c>
      <c r="J237" s="18">
        <v>9282</v>
      </c>
      <c r="K237" s="18">
        <v>9547</v>
      </c>
      <c r="L237" s="19">
        <f>SUM(F237:K237)</f>
        <v>377909.64999999997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486125.62999999995</v>
      </c>
      <c r="G239" s="18">
        <v>248870.77000000002</v>
      </c>
      <c r="H239" s="18">
        <v>5460.04</v>
      </c>
      <c r="I239" s="18">
        <v>3168.33</v>
      </c>
      <c r="J239" s="18">
        <v>0</v>
      </c>
      <c r="K239" s="18">
        <v>575</v>
      </c>
      <c r="L239" s="19">
        <f t="shared" ref="L239:L245" si="4">SUM(F239:K239)</f>
        <v>744199.7699999999</v>
      </c>
      <c r="M239" s="8"/>
      <c r="N239" s="264"/>
    </row>
    <row r="240" spans="1:14" s="3" customFormat="1" ht="12.2" customHeight="1" x14ac:dyDescent="0.15">
      <c r="A240" s="1" t="s">
        <v>443</v>
      </c>
      <c r="B240" s="2" t="s">
        <v>350</v>
      </c>
      <c r="C240" s="2" t="s">
        <v>295</v>
      </c>
      <c r="D240" s="2" t="s">
        <v>431</v>
      </c>
      <c r="E240" s="6">
        <v>2200</v>
      </c>
      <c r="F240" s="18">
        <v>100302.37</v>
      </c>
      <c r="G240" s="18">
        <v>29329.840000000004</v>
      </c>
      <c r="H240" s="18">
        <v>50261.679999999978</v>
      </c>
      <c r="I240" s="18">
        <v>17210.080000000002</v>
      </c>
      <c r="J240" s="18">
        <v>59612.220000000016</v>
      </c>
      <c r="K240" s="18">
        <v>0</v>
      </c>
      <c r="L240" s="19">
        <f t="shared" si="4"/>
        <v>256716.19</v>
      </c>
      <c r="M240" s="8"/>
      <c r="N240" s="264"/>
    </row>
    <row r="241" spans="1:14" s="3" customFormat="1" ht="12.2" customHeight="1" x14ac:dyDescent="0.15">
      <c r="A241" s="1" t="s">
        <v>444</v>
      </c>
      <c r="B241" s="2" t="s">
        <v>350</v>
      </c>
      <c r="C241" s="2" t="s">
        <v>296</v>
      </c>
      <c r="D241" s="2" t="s">
        <v>431</v>
      </c>
      <c r="E241" s="6">
        <v>2300</v>
      </c>
      <c r="F241" s="18">
        <v>2402.0299999999997</v>
      </c>
      <c r="G241" s="18">
        <v>200.66999999999996</v>
      </c>
      <c r="H241" s="18">
        <v>509376.75</v>
      </c>
      <c r="I241" s="18">
        <v>2174.2300000000005</v>
      </c>
      <c r="J241" s="18">
        <v>0</v>
      </c>
      <c r="K241" s="18">
        <v>1604.12</v>
      </c>
      <c r="L241" s="19">
        <f t="shared" si="4"/>
        <v>515757.8</v>
      </c>
      <c r="M241" s="8"/>
      <c r="N241" s="264"/>
    </row>
    <row r="242" spans="1:14" s="3" customFormat="1" ht="12.2" customHeight="1" x14ac:dyDescent="0.15">
      <c r="A242" s="1" t="s">
        <v>445</v>
      </c>
      <c r="B242" s="2" t="s">
        <v>350</v>
      </c>
      <c r="C242" s="2" t="s">
        <v>297</v>
      </c>
      <c r="D242" s="2" t="s">
        <v>431</v>
      </c>
      <c r="E242" s="6">
        <v>2400</v>
      </c>
      <c r="F242" s="18">
        <v>758201.59000000008</v>
      </c>
      <c r="G242" s="18">
        <v>381249.9</v>
      </c>
      <c r="H242" s="18">
        <v>5061.2199999999993</v>
      </c>
      <c r="I242" s="18">
        <v>1490.26</v>
      </c>
      <c r="J242" s="18">
        <v>2091.19</v>
      </c>
      <c r="K242" s="18">
        <v>10651</v>
      </c>
      <c r="L242" s="19">
        <f t="shared" si="4"/>
        <v>1158745.1600000001</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331032.73000000004</v>
      </c>
      <c r="G244" s="18">
        <v>193709.96999999997</v>
      </c>
      <c r="H244" s="18">
        <v>772924.79999999993</v>
      </c>
      <c r="I244" s="18">
        <v>147653.34000000003</v>
      </c>
      <c r="J244" s="18">
        <v>1907.8500000000004</v>
      </c>
      <c r="K244" s="18">
        <v>0</v>
      </c>
      <c r="L244" s="19">
        <f t="shared" si="4"/>
        <v>1447228.6900000002</v>
      </c>
      <c r="M244" s="8"/>
      <c r="N244" s="264"/>
    </row>
    <row r="245" spans="1:14" s="3" customFormat="1" ht="12.2" customHeight="1" x14ac:dyDescent="0.15">
      <c r="A245" s="1" t="s">
        <v>448</v>
      </c>
      <c r="B245" s="2" t="s">
        <v>350</v>
      </c>
      <c r="C245" s="2" t="s">
        <v>300</v>
      </c>
      <c r="D245" s="2" t="s">
        <v>431</v>
      </c>
      <c r="E245" s="6">
        <v>2700</v>
      </c>
      <c r="F245" s="18">
        <v>195687.48000000004</v>
      </c>
      <c r="G245" s="18">
        <v>81547.38</v>
      </c>
      <c r="H245" s="18">
        <v>47601.07</v>
      </c>
      <c r="I245" s="18">
        <v>15037.499999999995</v>
      </c>
      <c r="J245" s="18">
        <v>89066.06</v>
      </c>
      <c r="K245" s="18">
        <v>27.899999999999995</v>
      </c>
      <c r="L245" s="19">
        <f t="shared" si="4"/>
        <v>428967.39000000007</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4960986.8400000008</v>
      </c>
      <c r="G248" s="41">
        <f t="shared" si="5"/>
        <v>2494564.2599999998</v>
      </c>
      <c r="H248" s="41">
        <f t="shared" si="5"/>
        <v>3637418.2600000002</v>
      </c>
      <c r="I248" s="41">
        <f t="shared" si="5"/>
        <v>360660.16000000003</v>
      </c>
      <c r="J248" s="41">
        <f t="shared" si="5"/>
        <v>199783.31000000003</v>
      </c>
      <c r="K248" s="41">
        <f t="shared" si="5"/>
        <v>44416.91</v>
      </c>
      <c r="L248" s="41">
        <f t="shared" si="5"/>
        <v>11697829.740000002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15784546.370000001</v>
      </c>
      <c r="G258" s="41">
        <f t="shared" si="8"/>
        <v>8198885.0599999996</v>
      </c>
      <c r="H258" s="41">
        <f t="shared" si="8"/>
        <v>8308941.9399999995</v>
      </c>
      <c r="I258" s="41">
        <f t="shared" si="8"/>
        <v>926133.19000000006</v>
      </c>
      <c r="J258" s="41">
        <f t="shared" si="8"/>
        <v>556322.26</v>
      </c>
      <c r="K258" s="41">
        <f t="shared" si="8"/>
        <v>59319.922592996001</v>
      </c>
      <c r="L258" s="41">
        <f t="shared" si="8"/>
        <v>33834148.742593005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764676.62</v>
      </c>
      <c r="L261" s="19">
        <f>SUM(F261:K261)</f>
        <v>764676.62</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496267.74</v>
      </c>
      <c r="L262" s="19">
        <f>SUM(F262:K262)</f>
        <v>496267.74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1000000</v>
      </c>
      <c r="L267" s="19">
        <f t="shared" si="9"/>
        <v>1000000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2260944.36</v>
      </c>
      <c r="L271" s="41">
        <f t="shared" si="9"/>
        <v>2260944.36</v>
      </c>
      <c r="M271" s="8"/>
      <c r="N271" s="264"/>
    </row>
    <row r="272" spans="1:14" s="34" customFormat="1" ht="12.2" customHeight="1" thickTop="1" x14ac:dyDescent="0.2">
      <c r="A272" s="43" t="s">
        <v>464</v>
      </c>
      <c r="B272" s="40">
        <v>10</v>
      </c>
      <c r="C272" s="40">
        <v>18</v>
      </c>
      <c r="D272" s="39" t="s">
        <v>431</v>
      </c>
      <c r="E272" s="40"/>
      <c r="F272" s="42">
        <f t="shared" ref="F272:L272" si="11">F258+F271</f>
        <v>15784546.370000001</v>
      </c>
      <c r="G272" s="42">
        <f t="shared" si="11"/>
        <v>8198885.0599999996</v>
      </c>
      <c r="H272" s="42">
        <f t="shared" si="11"/>
        <v>8308941.9399999995</v>
      </c>
      <c r="I272" s="42">
        <f t="shared" si="11"/>
        <v>926133.19000000006</v>
      </c>
      <c r="J272" s="42">
        <f t="shared" si="11"/>
        <v>556322.26</v>
      </c>
      <c r="K272" s="42">
        <f t="shared" si="11"/>
        <v>2320264.282592996</v>
      </c>
      <c r="L272" s="42">
        <f t="shared" si="11"/>
        <v>36095093.102593005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484502.00926999998</v>
      </c>
      <c r="G277" s="18">
        <v>263181.694479</v>
      </c>
      <c r="H277" s="18">
        <v>40706.302051999999</v>
      </c>
      <c r="I277" s="18">
        <v>64019.711861000003</v>
      </c>
      <c r="J277" s="18">
        <v>10687.250670000001</v>
      </c>
      <c r="K277" s="18">
        <v>0</v>
      </c>
      <c r="L277" s="19">
        <f>SUM(F277:K277)</f>
        <v>863096.96833199996</v>
      </c>
      <c r="M277" s="8"/>
      <c r="N277" s="264"/>
    </row>
    <row r="278" spans="1:14" s="3" customFormat="1" ht="12.2" customHeight="1" x14ac:dyDescent="0.15">
      <c r="A278" s="1" t="s">
        <v>439</v>
      </c>
      <c r="B278" s="2" t="s">
        <v>357</v>
      </c>
      <c r="C278" s="2" t="s">
        <v>291</v>
      </c>
      <c r="D278" s="2" t="s">
        <v>431</v>
      </c>
      <c r="E278" s="6">
        <v>1200</v>
      </c>
      <c r="F278" s="18">
        <v>201753.47752900003</v>
      </c>
      <c r="G278" s="18">
        <v>111322.00489300002</v>
      </c>
      <c r="H278" s="18">
        <v>0</v>
      </c>
      <c r="I278" s="18">
        <v>1528.4030340000002</v>
      </c>
      <c r="J278" s="18">
        <v>7916.5375110000004</v>
      </c>
      <c r="K278" s="18">
        <v>0</v>
      </c>
      <c r="L278" s="19">
        <f>SUM(F278:K278)</f>
        <v>322520.42296700005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11760.204125</v>
      </c>
      <c r="G280" s="18">
        <v>1967.6865479999999</v>
      </c>
      <c r="H280" s="18">
        <v>322.17132000000004</v>
      </c>
      <c r="I280" s="18">
        <v>3869.8551969999999</v>
      </c>
      <c r="J280" s="18">
        <v>7580.601815</v>
      </c>
      <c r="K280" s="18">
        <v>0</v>
      </c>
      <c r="L280" s="19">
        <f>SUM(F280:K280)</f>
        <v>25500.519005000002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20725.218209000002</v>
      </c>
      <c r="G282" s="18">
        <v>6516.5518589999992</v>
      </c>
      <c r="H282" s="18">
        <v>8672.4016730000003</v>
      </c>
      <c r="I282" s="18">
        <v>47813.456625999999</v>
      </c>
      <c r="J282" s="18">
        <v>0</v>
      </c>
      <c r="K282" s="18">
        <v>0</v>
      </c>
      <c r="L282" s="19">
        <f t="shared" ref="L282:L288" si="12">SUM(F282:K282)</f>
        <v>83727.628366999998</v>
      </c>
      <c r="M282" s="8"/>
      <c r="N282" s="264"/>
    </row>
    <row r="283" spans="1:14" s="3" customFormat="1" ht="12.2" customHeight="1" x14ac:dyDescent="0.15">
      <c r="A283" s="1" t="s">
        <v>443</v>
      </c>
      <c r="B283" s="2" t="s">
        <v>357</v>
      </c>
      <c r="C283" s="2" t="s">
        <v>295</v>
      </c>
      <c r="D283" s="2" t="s">
        <v>431</v>
      </c>
      <c r="E283" s="6">
        <v>2200</v>
      </c>
      <c r="F283" s="18">
        <v>1273.8240000000001</v>
      </c>
      <c r="G283" s="18">
        <v>327.76199200000002</v>
      </c>
      <c r="H283" s="18">
        <v>4423</v>
      </c>
      <c r="I283" s="18">
        <v>25333.617100000003</v>
      </c>
      <c r="J283" s="18">
        <v>155397.01855000001</v>
      </c>
      <c r="K283" s="18">
        <v>0</v>
      </c>
      <c r="L283" s="19">
        <f t="shared" si="12"/>
        <v>186755.22164200002</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56996.825849000008</v>
      </c>
      <c r="G285" s="18">
        <v>13756.905553000001</v>
      </c>
      <c r="H285" s="18">
        <v>1105.75</v>
      </c>
      <c r="I285" s="18">
        <v>56113.119700000003</v>
      </c>
      <c r="J285" s="18">
        <v>0</v>
      </c>
      <c r="K285" s="18">
        <v>0</v>
      </c>
      <c r="L285" s="19">
        <f t="shared" si="12"/>
        <v>127972.60110200002</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55864.011512000005</v>
      </c>
      <c r="I287" s="18">
        <v>0</v>
      </c>
      <c r="J287" s="18">
        <v>28932.435280000002</v>
      </c>
      <c r="K287" s="18">
        <v>191113</v>
      </c>
      <c r="L287" s="19">
        <f t="shared" si="12"/>
        <v>275909.44679199997</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5132.4492</v>
      </c>
      <c r="K288" s="18">
        <v>0</v>
      </c>
      <c r="L288" s="19">
        <f t="shared" si="12"/>
        <v>5132.4492</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777011.5589820001</v>
      </c>
      <c r="G291" s="42">
        <f t="shared" si="13"/>
        <v>397072.605324</v>
      </c>
      <c r="H291" s="42">
        <f t="shared" si="13"/>
        <v>111093.63655700001</v>
      </c>
      <c r="I291" s="42">
        <f t="shared" si="13"/>
        <v>198678.16351800002</v>
      </c>
      <c r="J291" s="42">
        <f t="shared" si="13"/>
        <v>215646.29302600003</v>
      </c>
      <c r="K291" s="42">
        <f t="shared" si="13"/>
        <v>191113</v>
      </c>
      <c r="L291" s="41">
        <f t="shared" si="13"/>
        <v>1890615.2574070001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14567.102940000001</v>
      </c>
      <c r="G296" s="18">
        <v>2813.2708379999995</v>
      </c>
      <c r="H296" s="18">
        <v>22143.197544000002</v>
      </c>
      <c r="I296" s="18">
        <v>37830.326642</v>
      </c>
      <c r="J296" s="18">
        <v>5813.5937400000003</v>
      </c>
      <c r="K296" s="18">
        <v>0</v>
      </c>
      <c r="L296" s="19">
        <f>SUM(F296:K296)</f>
        <v>83167.491704</v>
      </c>
      <c r="M296" s="8"/>
      <c r="N296" s="264"/>
    </row>
    <row r="297" spans="1:14" s="3" customFormat="1" ht="12.2" customHeight="1" x14ac:dyDescent="0.15">
      <c r="A297" s="1" t="s">
        <v>439</v>
      </c>
      <c r="B297" s="2" t="s">
        <v>358</v>
      </c>
      <c r="C297" s="2" t="s">
        <v>291</v>
      </c>
      <c r="D297" s="2" t="s">
        <v>431</v>
      </c>
      <c r="E297" s="6">
        <v>1200</v>
      </c>
      <c r="F297" s="18">
        <v>109748.78293800002</v>
      </c>
      <c r="G297" s="18">
        <v>60556.351746000008</v>
      </c>
      <c r="H297" s="18">
        <v>0</v>
      </c>
      <c r="I297" s="18">
        <v>831.41254800000013</v>
      </c>
      <c r="J297" s="18">
        <v>4306.3959420000001</v>
      </c>
      <c r="K297" s="18">
        <v>0</v>
      </c>
      <c r="L297" s="19">
        <f>SUM(F297:K297)</f>
        <v>175442.94317400001</v>
      </c>
      <c r="M297" s="8"/>
      <c r="N297" s="264"/>
    </row>
    <row r="298" spans="1:14" s="3" customFormat="1" ht="12.2" customHeight="1" x14ac:dyDescent="0.15">
      <c r="A298" s="1" t="s">
        <v>440</v>
      </c>
      <c r="B298" s="2" t="s">
        <v>358</v>
      </c>
      <c r="C298" s="2" t="s">
        <v>292</v>
      </c>
      <c r="D298" s="2" t="s">
        <v>431</v>
      </c>
      <c r="E298" s="6">
        <v>1300</v>
      </c>
      <c r="F298" s="18">
        <v>0</v>
      </c>
      <c r="G298" s="18">
        <v>0</v>
      </c>
      <c r="H298" s="18">
        <v>77.223238300161384</v>
      </c>
      <c r="I298" s="18">
        <v>0</v>
      </c>
      <c r="J298" s="18">
        <v>7029.040344271114</v>
      </c>
      <c r="K298" s="18">
        <v>0</v>
      </c>
      <c r="L298" s="19">
        <f>SUM(F298:K298)</f>
        <v>7106.263582571275</v>
      </c>
      <c r="M298" s="8"/>
      <c r="N298" s="264"/>
    </row>
    <row r="299" spans="1:14" s="3" customFormat="1" ht="12.2" customHeight="1" x14ac:dyDescent="0.15">
      <c r="A299" s="1" t="s">
        <v>441</v>
      </c>
      <c r="B299" s="2" t="s">
        <v>358</v>
      </c>
      <c r="C299" s="2" t="s">
        <v>293</v>
      </c>
      <c r="D299" s="2" t="s">
        <v>431</v>
      </c>
      <c r="E299" s="6">
        <v>1400</v>
      </c>
      <c r="F299" s="18">
        <v>6397.2532500000007</v>
      </c>
      <c r="G299" s="18">
        <v>1070.3716559999998</v>
      </c>
      <c r="H299" s="18">
        <v>175.25304</v>
      </c>
      <c r="I299" s="18">
        <v>2105.1032340000002</v>
      </c>
      <c r="J299" s="18">
        <v>4123.6554299999998</v>
      </c>
      <c r="K299" s="18">
        <v>0</v>
      </c>
      <c r="L299" s="19">
        <f>SUM(F299:K299)</f>
        <v>13871.636610000001</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11273.993898000001</v>
      </c>
      <c r="G301" s="18">
        <v>3544.8391979999997</v>
      </c>
      <c r="H301" s="18">
        <v>4717.5669060000009</v>
      </c>
      <c r="I301" s="18">
        <v>8795.0419719999991</v>
      </c>
      <c r="J301" s="18">
        <v>0</v>
      </c>
      <c r="K301" s="18">
        <v>0</v>
      </c>
      <c r="L301" s="19">
        <f t="shared" ref="L301:L307" si="14">SUM(F301:K301)</f>
        <v>28331.441974000001</v>
      </c>
      <c r="M301" s="8"/>
      <c r="N301" s="264"/>
    </row>
    <row r="302" spans="1:14" s="3" customFormat="1" ht="12.2" customHeight="1" x14ac:dyDescent="0.15">
      <c r="A302" s="1" t="s">
        <v>443</v>
      </c>
      <c r="B302" s="2" t="s">
        <v>358</v>
      </c>
      <c r="C302" s="2" t="s">
        <v>295</v>
      </c>
      <c r="D302" s="2" t="s">
        <v>431</v>
      </c>
      <c r="E302" s="6">
        <v>2200</v>
      </c>
      <c r="F302" s="18">
        <v>692.928</v>
      </c>
      <c r="G302" s="18">
        <v>178.29422399999999</v>
      </c>
      <c r="H302" s="18">
        <v>2406</v>
      </c>
      <c r="I302" s="18">
        <v>13780.8462</v>
      </c>
      <c r="J302" s="18">
        <v>84532.04310000001</v>
      </c>
      <c r="K302" s="18">
        <v>0</v>
      </c>
      <c r="L302" s="19">
        <f t="shared" si="14"/>
        <v>101590.11152400001</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v>31004.829978000002</v>
      </c>
      <c r="G304" s="18">
        <v>7483.4082660000004</v>
      </c>
      <c r="H304" s="18">
        <v>601.5</v>
      </c>
      <c r="I304" s="18">
        <v>33282.803400000004</v>
      </c>
      <c r="J304" s="18">
        <v>780</v>
      </c>
      <c r="K304" s="18">
        <v>0</v>
      </c>
      <c r="L304" s="19">
        <f t="shared" si="14"/>
        <v>73152.541644000012</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30388.607664000003</v>
      </c>
      <c r="I306" s="18">
        <v>0</v>
      </c>
      <c r="J306" s="18">
        <v>65007.512159999998</v>
      </c>
      <c r="K306" s="18">
        <v>0</v>
      </c>
      <c r="L306" s="19">
        <f t="shared" si="14"/>
        <v>95396.119823999994</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2791.9223999999999</v>
      </c>
      <c r="K307" s="18">
        <v>0</v>
      </c>
      <c r="L307" s="19">
        <f t="shared" si="14"/>
        <v>2791.9223999999999</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173684.891004</v>
      </c>
      <c r="G310" s="42">
        <f t="shared" si="15"/>
        <v>75646.535927999998</v>
      </c>
      <c r="H310" s="42">
        <f t="shared" si="15"/>
        <v>60509.348392300162</v>
      </c>
      <c r="I310" s="42">
        <f t="shared" si="15"/>
        <v>96625.533996000013</v>
      </c>
      <c r="J310" s="42">
        <f t="shared" si="15"/>
        <v>174384.16311627111</v>
      </c>
      <c r="K310" s="42">
        <f t="shared" si="15"/>
        <v>0</v>
      </c>
      <c r="L310" s="41">
        <f t="shared" si="15"/>
        <v>580850.47243657126</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19198.787789999998</v>
      </c>
      <c r="G315" s="18">
        <v>3707.7646829999994</v>
      </c>
      <c r="H315" s="18">
        <v>29183.740404</v>
      </c>
      <c r="I315" s="18">
        <v>45657.031497000004</v>
      </c>
      <c r="J315" s="18">
        <v>7662.0555899999999</v>
      </c>
      <c r="K315" s="18">
        <v>0</v>
      </c>
      <c r="L315" s="19">
        <f>SUM(F315:K315)</f>
        <v>105409.37996400001</v>
      </c>
      <c r="M315" s="8"/>
      <c r="N315" s="264"/>
    </row>
    <row r="316" spans="1:14" s="3" customFormat="1" ht="12.2" customHeight="1" x14ac:dyDescent="0.15">
      <c r="A316" s="1" t="s">
        <v>439</v>
      </c>
      <c r="B316" s="2" t="s">
        <v>359</v>
      </c>
      <c r="C316" s="2" t="s">
        <v>291</v>
      </c>
      <c r="D316" s="2" t="s">
        <v>431</v>
      </c>
      <c r="E316" s="6">
        <v>1200</v>
      </c>
      <c r="F316" s="18">
        <v>144643.969533</v>
      </c>
      <c r="G316" s="18">
        <v>79810.553361000013</v>
      </c>
      <c r="H316" s="18">
        <v>0</v>
      </c>
      <c r="I316" s="18">
        <v>1095.7644180000002</v>
      </c>
      <c r="J316" s="18">
        <v>5675.6365470000001</v>
      </c>
      <c r="K316" s="18">
        <v>0</v>
      </c>
      <c r="L316" s="19">
        <f>SUM(F316:K316)</f>
        <v>231225.923859</v>
      </c>
      <c r="M316" s="8"/>
      <c r="N316" s="264"/>
    </row>
    <row r="317" spans="1:14" s="3" customFormat="1" ht="12.2" customHeight="1" x14ac:dyDescent="0.15">
      <c r="A317" s="1" t="s">
        <v>440</v>
      </c>
      <c r="B317" s="2" t="s">
        <v>359</v>
      </c>
      <c r="C317" s="2" t="s">
        <v>292</v>
      </c>
      <c r="D317" s="2" t="s">
        <v>431</v>
      </c>
      <c r="E317" s="6">
        <v>1300</v>
      </c>
      <c r="F317" s="18">
        <v>2000</v>
      </c>
      <c r="G317" s="18">
        <v>564</v>
      </c>
      <c r="H317" s="18">
        <v>8836.776761699839</v>
      </c>
      <c r="I317" s="18">
        <v>18170</v>
      </c>
      <c r="J317" s="18">
        <v>80719.95965572889</v>
      </c>
      <c r="K317" s="18">
        <v>3103</v>
      </c>
      <c r="L317" s="19">
        <f>SUM(F317:K317)</f>
        <v>113393.73641742874</v>
      </c>
      <c r="M317" s="8"/>
      <c r="N317" s="264"/>
    </row>
    <row r="318" spans="1:14" s="3" customFormat="1" ht="12.2" customHeight="1" x14ac:dyDescent="0.15">
      <c r="A318" s="1" t="s">
        <v>441</v>
      </c>
      <c r="B318" s="2" t="s">
        <v>359</v>
      </c>
      <c r="C318" s="2" t="s">
        <v>293</v>
      </c>
      <c r="D318" s="2" t="s">
        <v>431</v>
      </c>
      <c r="E318" s="6">
        <v>1400</v>
      </c>
      <c r="F318" s="18">
        <v>8431.292625</v>
      </c>
      <c r="G318" s="18">
        <v>1410.7017959999998</v>
      </c>
      <c r="H318" s="18">
        <v>230.97564</v>
      </c>
      <c r="I318" s="18">
        <v>2774.4315689999999</v>
      </c>
      <c r="J318" s="18">
        <v>5434.7927549999995</v>
      </c>
      <c r="K318" s="18"/>
      <c r="L318" s="19">
        <f>SUM(F318:K318)</f>
        <v>18282.194384999999</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14858.617893000001</v>
      </c>
      <c r="G320" s="18">
        <v>4671.9389429999992</v>
      </c>
      <c r="H320" s="18">
        <v>6217.5414210000008</v>
      </c>
      <c r="I320" s="18">
        <v>84802.12140199999</v>
      </c>
      <c r="J320" s="18">
        <v>0</v>
      </c>
      <c r="K320" s="18">
        <v>0</v>
      </c>
      <c r="L320" s="19">
        <f t="shared" ref="L320:L326" si="16">SUM(F320:K320)</f>
        <v>110550.21965899999</v>
      </c>
      <c r="M320" s="8"/>
      <c r="N320" s="264"/>
    </row>
    <row r="321" spans="1:14" s="3" customFormat="1" ht="12.2" customHeight="1" x14ac:dyDescent="0.15">
      <c r="A321" s="1" t="s">
        <v>443</v>
      </c>
      <c r="B321" s="2" t="s">
        <v>359</v>
      </c>
      <c r="C321" s="2" t="s">
        <v>295</v>
      </c>
      <c r="D321" s="2" t="s">
        <v>431</v>
      </c>
      <c r="E321" s="6">
        <v>2200</v>
      </c>
      <c r="F321" s="18">
        <v>913.24799999999993</v>
      </c>
      <c r="G321" s="18">
        <v>234.98378399999999</v>
      </c>
      <c r="H321" s="18">
        <v>3171</v>
      </c>
      <c r="I321" s="18">
        <v>18162.536700000001</v>
      </c>
      <c r="J321" s="18">
        <v>111409.43835</v>
      </c>
      <c r="K321" s="18">
        <v>0</v>
      </c>
      <c r="L321" s="19">
        <f t="shared" si="16"/>
        <v>133891.20683400001</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v>40862.974173000002</v>
      </c>
      <c r="G323" s="18">
        <v>9862.7961809999997</v>
      </c>
      <c r="H323" s="18">
        <v>792.75</v>
      </c>
      <c r="I323" s="18">
        <v>39871.836900000002</v>
      </c>
      <c r="J323" s="18">
        <v>0</v>
      </c>
      <c r="K323" s="18">
        <v>0</v>
      </c>
      <c r="L323" s="19">
        <f t="shared" si="16"/>
        <v>91390.357254000002</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40050.820824000002</v>
      </c>
      <c r="I325" s="18">
        <v>0</v>
      </c>
      <c r="J325" s="18">
        <v>28945.652559999999</v>
      </c>
      <c r="K325" s="18">
        <v>0</v>
      </c>
      <c r="L325" s="19">
        <f t="shared" si="16"/>
        <v>68996.473383999997</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3679.6284000000001</v>
      </c>
      <c r="K326" s="18">
        <v>0</v>
      </c>
      <c r="L326" s="19">
        <f t="shared" si="16"/>
        <v>3679.6284000000001</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230908.89001399998</v>
      </c>
      <c r="G329" s="42">
        <f t="shared" si="17"/>
        <v>100262.738748</v>
      </c>
      <c r="H329" s="42">
        <f t="shared" si="17"/>
        <v>88483.605050699844</v>
      </c>
      <c r="I329" s="42">
        <f t="shared" si="17"/>
        <v>210533.72248599998</v>
      </c>
      <c r="J329" s="42">
        <f t="shared" si="17"/>
        <v>243527.16385772885</v>
      </c>
      <c r="K329" s="42">
        <f t="shared" si="17"/>
        <v>3103</v>
      </c>
      <c r="L329" s="41">
        <f t="shared" si="17"/>
        <v>876819.12015642878</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1181605.3400000001</v>
      </c>
      <c r="G339" s="41">
        <f t="shared" si="20"/>
        <v>572981.88</v>
      </c>
      <c r="H339" s="41">
        <f t="shared" si="20"/>
        <v>260086.59000000003</v>
      </c>
      <c r="I339" s="41">
        <f t="shared" si="20"/>
        <v>505837.42</v>
      </c>
      <c r="J339" s="41">
        <f t="shared" si="20"/>
        <v>633557.62</v>
      </c>
      <c r="K339" s="41">
        <f t="shared" si="20"/>
        <v>194216</v>
      </c>
      <c r="L339" s="41">
        <f t="shared" si="20"/>
        <v>3348284.85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1181605.3400000001</v>
      </c>
      <c r="G353" s="41">
        <f>G339</f>
        <v>572981.88</v>
      </c>
      <c r="H353" s="41">
        <f>H339</f>
        <v>260086.59000000003</v>
      </c>
      <c r="I353" s="41">
        <f>I339</f>
        <v>505837.42</v>
      </c>
      <c r="J353" s="41">
        <f>J339</f>
        <v>633557.62</v>
      </c>
      <c r="K353" s="47">
        <f>K339+K352</f>
        <v>194216</v>
      </c>
      <c r="L353" s="41">
        <f>L339+L352</f>
        <v>3348284.85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78495+3113.8+86553.03+4948.64+91119.2+3792.12</f>
        <v>268021.79000000004</v>
      </c>
      <c r="I359" s="18"/>
      <c r="J359" s="18"/>
      <c r="K359" s="18"/>
      <c r="L359" s="13">
        <f>SUM(F359:K359)</f>
        <v>268021.79000000004</v>
      </c>
      <c r="M359" s="8"/>
      <c r="N359" s="264"/>
    </row>
    <row r="360" spans="1:22" s="3" customFormat="1" ht="12.2" customHeight="1" x14ac:dyDescent="0.15">
      <c r="A360" s="1" t="s">
        <v>542</v>
      </c>
      <c r="B360" s="2" t="s">
        <v>366</v>
      </c>
      <c r="C360" s="6">
        <v>2</v>
      </c>
      <c r="D360" s="2" t="s">
        <v>431</v>
      </c>
      <c r="E360" s="6"/>
      <c r="F360" s="18"/>
      <c r="G360" s="18"/>
      <c r="H360" s="18">
        <f>94446.06</f>
        <v>94446.06</v>
      </c>
      <c r="I360" s="18"/>
      <c r="J360" s="18"/>
      <c r="K360" s="18"/>
      <c r="L360" s="19">
        <f>SUM(F360:K360)</f>
        <v>94446.06</v>
      </c>
      <c r="M360" s="8"/>
      <c r="N360" s="264"/>
    </row>
    <row r="361" spans="1:22" s="3" customFormat="1" ht="12.2" customHeight="1" x14ac:dyDescent="0.15">
      <c r="A361" s="3" t="s">
        <v>543</v>
      </c>
      <c r="B361" s="2" t="s">
        <v>366</v>
      </c>
      <c r="C361" s="6">
        <v>3</v>
      </c>
      <c r="D361" s="2" t="s">
        <v>431</v>
      </c>
      <c r="E361" s="6"/>
      <c r="F361" s="18"/>
      <c r="G361" s="18"/>
      <c r="H361" s="18">
        <f>182832.19+100232.3+519.71-186.75</f>
        <v>283397.45</v>
      </c>
      <c r="I361" s="18"/>
      <c r="J361" s="18"/>
      <c r="K361" s="18"/>
      <c r="L361" s="19">
        <f>SUM(F361:K361)</f>
        <v>283397.45</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645865.30000000005</v>
      </c>
      <c r="I363" s="47">
        <f t="shared" si="22"/>
        <v>0</v>
      </c>
      <c r="J363" s="47">
        <f t="shared" si="22"/>
        <v>0</v>
      </c>
      <c r="K363" s="47">
        <f t="shared" si="22"/>
        <v>0</v>
      </c>
      <c r="L363" s="47">
        <f t="shared" si="22"/>
        <v>645865.30000000005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500000</v>
      </c>
      <c r="H390" s="18">
        <v>10.69</v>
      </c>
      <c r="I390" s="18"/>
      <c r="J390" s="24" t="s">
        <v>288</v>
      </c>
      <c r="K390" s="24" t="s">
        <v>288</v>
      </c>
      <c r="L390" s="56">
        <f t="shared" si="25"/>
        <v>500010.69</v>
      </c>
      <c r="M390" s="8"/>
      <c r="N390" s="264"/>
    </row>
    <row r="391" spans="1:14" s="3" customFormat="1" ht="12.2" customHeight="1" x14ac:dyDescent="0.15">
      <c r="A391" s="79" t="s">
        <v>553</v>
      </c>
      <c r="B391" s="2" t="s">
        <v>381</v>
      </c>
      <c r="C391" s="6">
        <v>4</v>
      </c>
      <c r="D391" s="2" t="s">
        <v>432</v>
      </c>
      <c r="E391" s="6"/>
      <c r="F391" s="18"/>
      <c r="G391" s="18">
        <v>500000</v>
      </c>
      <c r="H391" s="18">
        <v>4.3899999999999997</v>
      </c>
      <c r="I391" s="18"/>
      <c r="J391" s="24" t="s">
        <v>288</v>
      </c>
      <c r="K391" s="24" t="s">
        <v>288</v>
      </c>
      <c r="L391" s="56">
        <f t="shared" si="25"/>
        <v>500004.39</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1000000</v>
      </c>
      <c r="H394" s="139">
        <f>SUM(H388:H393)</f>
        <v>15.079999999999998</v>
      </c>
      <c r="I394" s="65">
        <f>SUM(I388:I393)</f>
        <v>0</v>
      </c>
      <c r="J394" s="45" t="s">
        <v>288</v>
      </c>
      <c r="K394" s="45" t="s">
        <v>288</v>
      </c>
      <c r="L394" s="47">
        <f>SUM(L388:L393)</f>
        <v>1000015.0800000001</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49.65</v>
      </c>
      <c r="I398" s="18"/>
      <c r="J398" s="24" t="s">
        <v>288</v>
      </c>
      <c r="K398" s="24" t="s">
        <v>288</v>
      </c>
      <c r="L398" s="56">
        <f t="shared" si="26"/>
        <v>49.65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465037.44</v>
      </c>
      <c r="I401" s="18"/>
      <c r="J401" s="24" t="s">
        <v>288</v>
      </c>
      <c r="K401" s="24" t="s">
        <v>288</v>
      </c>
      <c r="L401" s="56">
        <f t="shared" si="26"/>
        <v>465037.44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465087.09</v>
      </c>
      <c r="I402" s="47">
        <f>SUM(I396:I401)</f>
        <v>0</v>
      </c>
      <c r="J402" s="45" t="s">
        <v>288</v>
      </c>
      <c r="K402" s="45" t="s">
        <v>288</v>
      </c>
      <c r="L402" s="47">
        <f>SUM(L396:L401)</f>
        <v>465087.09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1000000</v>
      </c>
      <c r="H409" s="47">
        <f>H394+H402+H408</f>
        <v>465102.17000000004</v>
      </c>
      <c r="I409" s="47">
        <f>I394+I402+I408</f>
        <v>0</v>
      </c>
      <c r="J409" s="24" t="s">
        <v>288</v>
      </c>
      <c r="K409" s="24" t="s">
        <v>288</v>
      </c>
      <c r="L409" s="47">
        <f>L394+L402+L408</f>
        <v>1465102.1700000002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v>237877</v>
      </c>
      <c r="K417" s="18"/>
      <c r="L417" s="56">
        <f t="shared" si="27"/>
        <v>237877</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237877</v>
      </c>
      <c r="K420" s="139">
        <f t="shared" si="28"/>
        <v>0</v>
      </c>
      <c r="L420" s="47">
        <f t="shared" si="28"/>
        <v>237877</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v>169760.58</v>
      </c>
      <c r="J427" s="18"/>
      <c r="K427" s="18"/>
      <c r="L427" s="56">
        <f t="shared" si="29"/>
        <v>169760.58</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169760.58</v>
      </c>
      <c r="J428" s="47">
        <f t="shared" si="30"/>
        <v>0</v>
      </c>
      <c r="K428" s="47">
        <f t="shared" si="30"/>
        <v>0</v>
      </c>
      <c r="L428" s="47">
        <f t="shared" si="30"/>
        <v>169760.58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169760.58</v>
      </c>
      <c r="J435" s="47">
        <f t="shared" si="32"/>
        <v>237877</v>
      </c>
      <c r="K435" s="47">
        <f t="shared" si="32"/>
        <v>0</v>
      </c>
      <c r="L435" s="47">
        <f t="shared" si="32"/>
        <v>407637.57999999996</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8802830.4499999993</v>
      </c>
      <c r="H441" s="18"/>
      <c r="I441" s="56">
        <f t="shared" si="33"/>
        <v>8802830.4499999993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8802830.4499999993</v>
      </c>
      <c r="H447" s="13">
        <f>SUM(H440:H446)</f>
        <v>0</v>
      </c>
      <c r="I447" s="13">
        <f>SUM(I440:I446)</f>
        <v>8802830.4499999993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8802830.4499999993</v>
      </c>
      <c r="H460" s="18"/>
      <c r="I460" s="56">
        <f t="shared" si="34"/>
        <v>8802830.4499999993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8802830.4499999993</v>
      </c>
      <c r="H461" s="83">
        <f>SUM(H455:H460)</f>
        <v>0</v>
      </c>
      <c r="I461" s="83">
        <f>SUM(I455:I460)</f>
        <v>8802830.4499999993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8802830.4499999993</v>
      </c>
      <c r="H462" s="42">
        <f>H453+H461</f>
        <v>0</v>
      </c>
      <c r="I462" s="42">
        <f>I453+I461</f>
        <v>8802830.4499999993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2836610.58</v>
      </c>
      <c r="G466" s="18">
        <v>-144954.01999999999</v>
      </c>
      <c r="H466" s="18">
        <v>-56801.16</v>
      </c>
      <c r="I466" s="18"/>
      <c r="J466" s="18">
        <v>7745365.8600000003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35108108.32</v>
      </c>
      <c r="G469" s="18">
        <v>701682.05</v>
      </c>
      <c r="H469" s="18">
        <v>3358970.28</v>
      </c>
      <c r="I469" s="18"/>
      <c r="J469" s="18">
        <v>1465102.1700000002</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35108108.32</v>
      </c>
      <c r="G471" s="53">
        <f>SUM(G469:G470)</f>
        <v>701682.05</v>
      </c>
      <c r="H471" s="53">
        <f>SUM(H469:H470)</f>
        <v>3358970.28</v>
      </c>
      <c r="I471" s="53">
        <f>SUM(I469:I470)</f>
        <v>0</v>
      </c>
      <c r="J471" s="53">
        <f>SUM(J469:J470)</f>
        <v>1465102.1700000002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36095093.102593005</v>
      </c>
      <c r="G473" s="18">
        <v>645865.30000000005</v>
      </c>
      <c r="H473" s="18">
        <v>3348284.85</v>
      </c>
      <c r="I473" s="18"/>
      <c r="J473" s="18">
        <v>407637.57999999996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36095093.102593005</v>
      </c>
      <c r="G475" s="53">
        <f>SUM(G473:G474)</f>
        <v>645865.30000000005</v>
      </c>
      <c r="H475" s="53">
        <f>SUM(H473:H474)</f>
        <v>3348284.85</v>
      </c>
      <c r="I475" s="53">
        <f>SUM(I473:I474)</f>
        <v>0</v>
      </c>
      <c r="J475" s="53">
        <f>SUM(J473:J474)</f>
        <v>407637.57999999996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1849625.7974069938</v>
      </c>
      <c r="G477" s="53">
        <f>(G466+G471)- G475</f>
        <v>-89137.270000000019</v>
      </c>
      <c r="H477" s="53">
        <f>(H466+H471)- H475</f>
        <v>-46115.730000000447</v>
      </c>
      <c r="I477" s="53">
        <f>(I466+I471)- I475</f>
        <v>0</v>
      </c>
      <c r="J477" s="53">
        <f>(J466+J471)- J475</f>
        <v>8802830.4500000011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11195000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3.58</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7830000</v>
      </c>
      <c r="G496" s="18"/>
      <c r="H496" s="18"/>
      <c r="I496" s="18"/>
      <c r="J496" s="18"/>
      <c r="K496" s="53">
        <f>SUM(F496:J496)</f>
        <v>7830000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560000</v>
      </c>
      <c r="G498" s="18"/>
      <c r="H498" s="18"/>
      <c r="I498" s="18"/>
      <c r="J498" s="18"/>
      <c r="K498" s="53">
        <f t="shared" si="35"/>
        <v>560000</v>
      </c>
      <c r="L498" s="24" t="s">
        <v>288</v>
      </c>
      <c r="N498" s="263"/>
    </row>
    <row r="499" spans="1:14" s="52" customFormat="1" ht="12.2" customHeight="1" x14ac:dyDescent="0.2">
      <c r="A499" s="200" t="s">
        <v>622</v>
      </c>
      <c r="B499" s="201">
        <v>20</v>
      </c>
      <c r="C499" s="202">
        <v>9</v>
      </c>
      <c r="D499" s="203" t="s">
        <v>432</v>
      </c>
      <c r="E499" s="202"/>
      <c r="F499" s="204">
        <v>7270000</v>
      </c>
      <c r="G499" s="204"/>
      <c r="H499" s="204"/>
      <c r="I499" s="204"/>
      <c r="J499" s="204"/>
      <c r="K499" s="205">
        <f t="shared" si="35"/>
        <v>7270000</v>
      </c>
      <c r="L499" s="206" t="s">
        <v>288</v>
      </c>
      <c r="N499" s="263"/>
    </row>
    <row r="500" spans="1:14" s="52" customFormat="1" ht="12.2" customHeight="1" thickBot="1" x14ac:dyDescent="0.25">
      <c r="A500" s="22" t="s">
        <v>623</v>
      </c>
      <c r="B500" s="75">
        <v>20</v>
      </c>
      <c r="C500" s="115">
        <v>10</v>
      </c>
      <c r="D500" s="2" t="s">
        <v>432</v>
      </c>
      <c r="E500" s="115"/>
      <c r="F500" s="18">
        <v>2368399</v>
      </c>
      <c r="G500" s="18"/>
      <c r="H500" s="18"/>
      <c r="I500" s="18"/>
      <c r="J500" s="18"/>
      <c r="K500" s="53">
        <f t="shared" si="35"/>
        <v>2368399</v>
      </c>
      <c r="L500" s="24" t="s">
        <v>288</v>
      </c>
      <c r="N500" s="263"/>
    </row>
    <row r="501" spans="1:14" s="52" customFormat="1" ht="12.2" customHeight="1" thickTop="1" x14ac:dyDescent="0.2">
      <c r="A501" s="139" t="s">
        <v>624</v>
      </c>
      <c r="B501" s="44">
        <v>20</v>
      </c>
      <c r="C501" s="195">
        <v>11</v>
      </c>
      <c r="D501" s="39" t="s">
        <v>432</v>
      </c>
      <c r="E501" s="195"/>
      <c r="F501" s="42">
        <f>SUM(F499:F500)</f>
        <v>9638399</v>
      </c>
      <c r="G501" s="42">
        <f>SUM(G499:G500)</f>
        <v>0</v>
      </c>
      <c r="H501" s="42">
        <f>SUM(H499:H500)</f>
        <v>0</v>
      </c>
      <c r="I501" s="42">
        <f>SUM(I499:I500)</f>
        <v>0</v>
      </c>
      <c r="J501" s="42">
        <f>SUM(J499:J500)</f>
        <v>0</v>
      </c>
      <c r="K501" s="42">
        <f t="shared" si="35"/>
        <v>9638399</v>
      </c>
      <c r="L501" s="45" t="s">
        <v>288</v>
      </c>
      <c r="N501" s="263"/>
    </row>
    <row r="502" spans="1:14" s="52" customFormat="1" ht="12.2" customHeight="1" x14ac:dyDescent="0.2">
      <c r="A502" s="200" t="s">
        <v>651</v>
      </c>
      <c r="B502" s="201">
        <v>20</v>
      </c>
      <c r="C502" s="202">
        <v>12</v>
      </c>
      <c r="D502" s="203" t="s">
        <v>432</v>
      </c>
      <c r="E502" s="202"/>
      <c r="F502" s="204">
        <v>560000</v>
      </c>
      <c r="G502" s="204"/>
      <c r="H502" s="204"/>
      <c r="I502" s="204"/>
      <c r="J502" s="204"/>
      <c r="K502" s="205">
        <f t="shared" si="35"/>
        <v>560000</v>
      </c>
      <c r="L502" s="206" t="s">
        <v>288</v>
      </c>
      <c r="N502" s="263"/>
    </row>
    <row r="503" spans="1:14" s="52" customFormat="1" ht="12.2" customHeight="1" thickBot="1" x14ac:dyDescent="0.25">
      <c r="A503" s="22" t="s">
        <v>625</v>
      </c>
      <c r="B503" s="75">
        <v>20</v>
      </c>
      <c r="C503" s="115">
        <v>13</v>
      </c>
      <c r="D503" s="2" t="s">
        <v>432</v>
      </c>
      <c r="E503" s="115"/>
      <c r="F503" s="18">
        <v>348790</v>
      </c>
      <c r="G503" s="18"/>
      <c r="H503" s="18"/>
      <c r="I503" s="18"/>
      <c r="J503" s="18"/>
      <c r="K503" s="53">
        <f t="shared" si="35"/>
        <v>348790</v>
      </c>
      <c r="L503" s="24" t="s">
        <v>288</v>
      </c>
      <c r="N503" s="263"/>
    </row>
    <row r="504" spans="1:14" s="52" customFormat="1" ht="12.2" customHeight="1" thickTop="1" x14ac:dyDescent="0.2">
      <c r="A504" s="139" t="s">
        <v>626</v>
      </c>
      <c r="B504" s="44">
        <v>20</v>
      </c>
      <c r="C504" s="195">
        <v>14</v>
      </c>
      <c r="D504" s="39" t="s">
        <v>432</v>
      </c>
      <c r="E504" s="195"/>
      <c r="F504" s="42">
        <f>SUM(F502:F503)</f>
        <v>908790</v>
      </c>
      <c r="G504" s="42">
        <f>SUM(G502:G503)</f>
        <v>0</v>
      </c>
      <c r="H504" s="42">
        <f>SUM(H502:H503)</f>
        <v>0</v>
      </c>
      <c r="I504" s="42">
        <f>SUM(I502:I503)</f>
        <v>0</v>
      </c>
      <c r="J504" s="42">
        <f>SUM(J502:J503)</f>
        <v>0</v>
      </c>
      <c r="K504" s="42">
        <f t="shared" si="35"/>
        <v>908790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F199+F278</f>
        <v>2326515.7375289998</v>
      </c>
      <c r="G522" s="18">
        <f>G199+G278</f>
        <v>1009302.7848929999</v>
      </c>
      <c r="H522" s="18">
        <f>H199+H278-H527</f>
        <v>185309.58000000007</v>
      </c>
      <c r="I522" s="18">
        <f>I199+I278</f>
        <v>25090.183033999998</v>
      </c>
      <c r="J522" s="18">
        <f>J199+J278</f>
        <v>13171.287511</v>
      </c>
      <c r="K522" s="18">
        <f>K199+K278</f>
        <v>0</v>
      </c>
      <c r="L522" s="88">
        <f>SUM(F522:K522)</f>
        <v>3559389.5729669998</v>
      </c>
      <c r="N522" s="263"/>
    </row>
    <row r="523" spans="1:14" s="52" customFormat="1" ht="12.2" customHeight="1" x14ac:dyDescent="0.2">
      <c r="A523" s="22" t="s">
        <v>634</v>
      </c>
      <c r="B523" s="105">
        <v>21</v>
      </c>
      <c r="C523" s="115">
        <v>2</v>
      </c>
      <c r="D523" s="2" t="s">
        <v>432</v>
      </c>
      <c r="E523" s="115"/>
      <c r="F523" s="18">
        <f>F217+F296</f>
        <v>689981.31293999997</v>
      </c>
      <c r="G523" s="18">
        <f>G217+G296</f>
        <v>330428.150838</v>
      </c>
      <c r="H523" s="18">
        <f>H217+H296-H528</f>
        <v>696719.577544</v>
      </c>
      <c r="I523" s="18">
        <f>I217+I296</f>
        <v>49059.956642000005</v>
      </c>
      <c r="J523" s="18">
        <f>J217+J296</f>
        <v>5861.7137400000001</v>
      </c>
      <c r="K523" s="18">
        <f>K217+K296</f>
        <v>0</v>
      </c>
      <c r="L523" s="88">
        <f>SUM(F523:K523)</f>
        <v>1772050.7117039999</v>
      </c>
      <c r="N523" s="263"/>
    </row>
    <row r="524" spans="1:14" s="52" customFormat="1" ht="12.2" customHeight="1" thickBot="1" x14ac:dyDescent="0.25">
      <c r="A524" s="22" t="s">
        <v>635</v>
      </c>
      <c r="B524" s="105">
        <v>21</v>
      </c>
      <c r="C524" s="115">
        <v>3</v>
      </c>
      <c r="D524" s="2" t="s">
        <v>432</v>
      </c>
      <c r="E524" s="115"/>
      <c r="F524" s="18">
        <f>F235+F315</f>
        <v>581731.60778999992</v>
      </c>
      <c r="G524" s="18">
        <f t="shared" ref="G524:K524" si="36">G235+G315</f>
        <v>239109.71468299997</v>
      </c>
      <c r="H524" s="18">
        <f>H235+H315-H529</f>
        <v>1800068.8204040001</v>
      </c>
      <c r="I524" s="18">
        <f t="shared" si="36"/>
        <v>56571.841497000001</v>
      </c>
      <c r="J524" s="18">
        <f t="shared" si="36"/>
        <v>7725.47559</v>
      </c>
      <c r="K524" s="18">
        <f t="shared" si="36"/>
        <v>0</v>
      </c>
      <c r="L524" s="88">
        <f>SUM(F524:K524)</f>
        <v>2685207.4599639997</v>
      </c>
      <c r="N524" s="263"/>
    </row>
    <row r="525" spans="1:14" s="52" customFormat="1" ht="12.2" customHeight="1" thickTop="1" x14ac:dyDescent="0.2">
      <c r="A525" s="139" t="s">
        <v>63</v>
      </c>
      <c r="B525" s="107">
        <v>21</v>
      </c>
      <c r="C525" s="195">
        <v>4</v>
      </c>
      <c r="D525" s="196" t="s">
        <v>432</v>
      </c>
      <c r="E525" s="195"/>
      <c r="F525" s="108">
        <f>SUM(F522:F524)</f>
        <v>3598228.6582589997</v>
      </c>
      <c r="G525" s="108">
        <f t="shared" ref="G525:L525" si="37">SUM(G522:G524)</f>
        <v>1578840.6504139998</v>
      </c>
      <c r="H525" s="108">
        <f t="shared" si="37"/>
        <v>2682097.9779480002</v>
      </c>
      <c r="I525" s="108">
        <f t="shared" si="37"/>
        <v>130721.98117300001</v>
      </c>
      <c r="J525" s="108">
        <f t="shared" si="37"/>
        <v>26758.476841000003</v>
      </c>
      <c r="K525" s="108">
        <f t="shared" si="37"/>
        <v>0</v>
      </c>
      <c r="L525" s="89">
        <f t="shared" si="37"/>
        <v>8016647.744634999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476369.22</v>
      </c>
      <c r="I527" s="18"/>
      <c r="J527" s="18"/>
      <c r="K527" s="18"/>
      <c r="L527" s="88">
        <f>SUM(F527:K527)</f>
        <v>476369.22</v>
      </c>
      <c r="M527" s="8"/>
      <c r="N527" s="264"/>
    </row>
    <row r="528" spans="1:14" s="3" customFormat="1" ht="12.2" customHeight="1" x14ac:dyDescent="0.15">
      <c r="A528" s="22" t="s">
        <v>634</v>
      </c>
      <c r="B528" s="105">
        <v>21</v>
      </c>
      <c r="C528" s="115">
        <v>6</v>
      </c>
      <c r="D528" s="2" t="s">
        <v>432</v>
      </c>
      <c r="E528" s="115"/>
      <c r="F528" s="18"/>
      <c r="G528" s="18"/>
      <c r="H528" s="18">
        <v>259132.79</v>
      </c>
      <c r="I528" s="18"/>
      <c r="J528" s="18"/>
      <c r="K528" s="18"/>
      <c r="L528" s="88">
        <f>SUM(F528:K528)</f>
        <v>259132.79</v>
      </c>
      <c r="M528" s="8"/>
      <c r="N528" s="264"/>
    </row>
    <row r="529" spans="1:14" s="3" customFormat="1" ht="12.2" customHeight="1" thickBot="1" x14ac:dyDescent="0.2">
      <c r="A529" s="22" t="s">
        <v>635</v>
      </c>
      <c r="B529" s="118">
        <v>21</v>
      </c>
      <c r="C529" s="118">
        <v>7</v>
      </c>
      <c r="D529" s="2" t="s">
        <v>432</v>
      </c>
      <c r="E529" s="118"/>
      <c r="F529" s="18"/>
      <c r="G529" s="18"/>
      <c r="H529" s="18">
        <v>341525.39</v>
      </c>
      <c r="I529" s="18"/>
      <c r="J529" s="18"/>
      <c r="K529" s="18"/>
      <c r="L529" s="88">
        <f>SUM(F529:K529)</f>
        <v>341525.39</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1077027.3999999999</v>
      </c>
      <c r="I530" s="89">
        <f t="shared" si="38"/>
        <v>0</v>
      </c>
      <c r="J530" s="89">
        <f t="shared" si="38"/>
        <v>0</v>
      </c>
      <c r="K530" s="89">
        <f t="shared" si="38"/>
        <v>0</v>
      </c>
      <c r="L530" s="89">
        <f t="shared" si="38"/>
        <v>1077027.3999999999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48322.6</v>
      </c>
      <c r="G532" s="18">
        <v>26966.95</v>
      </c>
      <c r="H532" s="18">
        <v>1408.4</v>
      </c>
      <c r="I532" s="18">
        <v>589.14</v>
      </c>
      <c r="J532" s="18">
        <v>0</v>
      </c>
      <c r="K532" s="18">
        <v>288.39</v>
      </c>
      <c r="L532" s="88">
        <f>SUM(F532:K532)</f>
        <v>77575.48</v>
      </c>
      <c r="M532" s="8"/>
      <c r="N532" s="264"/>
    </row>
    <row r="533" spans="1:14" s="3" customFormat="1" ht="12.2" customHeight="1" x14ac:dyDescent="0.15">
      <c r="A533" s="22" t="s">
        <v>634</v>
      </c>
      <c r="B533" s="105">
        <v>21</v>
      </c>
      <c r="C533" s="105">
        <v>10</v>
      </c>
      <c r="D533" s="2" t="s">
        <v>432</v>
      </c>
      <c r="E533" s="105"/>
      <c r="F533" s="18">
        <v>26286.27</v>
      </c>
      <c r="G533" s="18">
        <v>14669.34</v>
      </c>
      <c r="H533" s="18">
        <v>766.13</v>
      </c>
      <c r="I533" s="18">
        <v>320.48</v>
      </c>
      <c r="J533" s="18">
        <v>0</v>
      </c>
      <c r="K533" s="18">
        <v>156.88</v>
      </c>
      <c r="L533" s="88">
        <f>SUM(F533:K533)</f>
        <v>42199.1</v>
      </c>
      <c r="M533" s="8"/>
      <c r="N533" s="264"/>
    </row>
    <row r="534" spans="1:14" s="3" customFormat="1" ht="12.2" customHeight="1" thickBot="1" x14ac:dyDescent="0.2">
      <c r="A534" s="22" t="s">
        <v>635</v>
      </c>
      <c r="B534" s="105">
        <v>21</v>
      </c>
      <c r="C534" s="105">
        <v>11</v>
      </c>
      <c r="D534" s="2" t="s">
        <v>432</v>
      </c>
      <c r="E534" s="105"/>
      <c r="F534" s="18">
        <v>34644.125568331059</v>
      </c>
      <c r="G534" s="18">
        <v>19333.524513237946</v>
      </c>
      <c r="H534" s="18">
        <v>1009.7245626066875</v>
      </c>
      <c r="I534" s="18">
        <v>422.36598096472278</v>
      </c>
      <c r="J534" s="18">
        <v>0</v>
      </c>
      <c r="K534" s="18">
        <v>206.75798024787434</v>
      </c>
      <c r="L534" s="88">
        <f>SUM(F534:K534)</f>
        <v>55616.498605388289</v>
      </c>
      <c r="M534" s="8"/>
      <c r="N534" s="264"/>
    </row>
    <row r="535" spans="1:14" s="3" customFormat="1" ht="12.2" customHeight="1" thickTop="1" x14ac:dyDescent="0.15">
      <c r="A535" s="139" t="s">
        <v>67</v>
      </c>
      <c r="B535" s="107">
        <v>21</v>
      </c>
      <c r="C535" s="107">
        <v>12</v>
      </c>
      <c r="D535" s="158" t="s">
        <v>432</v>
      </c>
      <c r="E535" s="107"/>
      <c r="F535" s="89">
        <f>SUM(F532:F534)</f>
        <v>109252.99556833105</v>
      </c>
      <c r="G535" s="89">
        <f t="shared" ref="G535:L535" si="39">SUM(G532:G534)</f>
        <v>60969.814513237943</v>
      </c>
      <c r="H535" s="89">
        <f t="shared" si="39"/>
        <v>3184.2545626066876</v>
      </c>
      <c r="I535" s="89">
        <f t="shared" si="39"/>
        <v>1331.9859809647228</v>
      </c>
      <c r="J535" s="89">
        <f t="shared" si="39"/>
        <v>0</v>
      </c>
      <c r="K535" s="89">
        <f t="shared" si="39"/>
        <v>652.02798024787432</v>
      </c>
      <c r="L535" s="89">
        <f t="shared" si="39"/>
        <v>175391.07860538829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8079</v>
      </c>
      <c r="I542" s="18"/>
      <c r="J542" s="18"/>
      <c r="K542" s="18"/>
      <c r="L542" s="88">
        <f>SUM(F542:K542)</f>
        <v>8079</v>
      </c>
      <c r="M542" s="8"/>
      <c r="N542" s="264"/>
    </row>
    <row r="543" spans="1:14" s="3" customFormat="1" ht="12.2" customHeight="1" x14ac:dyDescent="0.15">
      <c r="A543" s="22" t="s">
        <v>634</v>
      </c>
      <c r="B543" s="105">
        <v>21</v>
      </c>
      <c r="C543" s="105">
        <v>18</v>
      </c>
      <c r="D543" s="2" t="s">
        <v>432</v>
      </c>
      <c r="E543" s="105"/>
      <c r="F543" s="18"/>
      <c r="G543" s="18"/>
      <c r="H543" s="18">
        <v>36348</v>
      </c>
      <c r="I543" s="18"/>
      <c r="J543" s="18"/>
      <c r="K543" s="18"/>
      <c r="L543" s="88">
        <f>SUM(F543:K543)</f>
        <v>36348</v>
      </c>
      <c r="M543" s="8"/>
      <c r="N543" s="264"/>
    </row>
    <row r="544" spans="1:14" s="3" customFormat="1" ht="12.2" customHeight="1" thickBot="1" x14ac:dyDescent="0.2">
      <c r="A544" s="22" t="s">
        <v>635</v>
      </c>
      <c r="B544" s="105">
        <v>21</v>
      </c>
      <c r="C544" s="105">
        <v>19</v>
      </c>
      <c r="D544" s="2" t="s">
        <v>432</v>
      </c>
      <c r="E544" s="105"/>
      <c r="F544" s="18"/>
      <c r="G544" s="18"/>
      <c r="H544" s="18">
        <v>10643</v>
      </c>
      <c r="I544" s="18"/>
      <c r="J544" s="18"/>
      <c r="K544" s="18"/>
      <c r="L544" s="88">
        <f>SUM(F544:K544)</f>
        <v>10643</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55070</v>
      </c>
      <c r="I545" s="193">
        <f t="shared" si="41"/>
        <v>0</v>
      </c>
      <c r="J545" s="193">
        <f t="shared" si="41"/>
        <v>0</v>
      </c>
      <c r="K545" s="193">
        <f t="shared" si="41"/>
        <v>0</v>
      </c>
      <c r="L545" s="193">
        <f t="shared" si="41"/>
        <v>55070</v>
      </c>
      <c r="M545" s="8"/>
      <c r="N545" s="264"/>
    </row>
    <row r="546" spans="1:14" s="3" customFormat="1" ht="12.2" customHeight="1" thickTop="1" x14ac:dyDescent="0.15">
      <c r="A546" s="98" t="s">
        <v>72</v>
      </c>
      <c r="B546" s="107">
        <v>21</v>
      </c>
      <c r="C546" s="107">
        <v>21</v>
      </c>
      <c r="D546" s="158" t="s">
        <v>432</v>
      </c>
      <c r="E546" s="107"/>
      <c r="F546" s="89">
        <f>F525+F530+F535+F540+F545</f>
        <v>3707481.6538273306</v>
      </c>
      <c r="G546" s="89">
        <f t="shared" ref="G546:L546" si="42">G525+G530+G535+G540+G545</f>
        <v>1639810.4649272377</v>
      </c>
      <c r="H546" s="89">
        <f t="shared" si="42"/>
        <v>3817379.6325106067</v>
      </c>
      <c r="I546" s="89">
        <f t="shared" si="42"/>
        <v>132053.96715396474</v>
      </c>
      <c r="J546" s="89">
        <f t="shared" si="42"/>
        <v>26758.476841000003</v>
      </c>
      <c r="K546" s="89">
        <f t="shared" si="42"/>
        <v>652.02798024787432</v>
      </c>
      <c r="L546" s="89">
        <f t="shared" si="42"/>
        <v>9324136.2232403867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3559389.5729669998</v>
      </c>
      <c r="G550" s="87">
        <f>L527</f>
        <v>476369.22</v>
      </c>
      <c r="H550" s="87">
        <f>L532</f>
        <v>77575.48</v>
      </c>
      <c r="I550" s="87">
        <f>L537</f>
        <v>0</v>
      </c>
      <c r="J550" s="87">
        <f>L542</f>
        <v>8079</v>
      </c>
      <c r="K550" s="87">
        <f>SUM(F550:J550)</f>
        <v>4121413.272967</v>
      </c>
      <c r="L550" s="24" t="s">
        <v>288</v>
      </c>
      <c r="M550" s="8"/>
      <c r="N550" s="264"/>
    </row>
    <row r="551" spans="1:14" s="3" customFormat="1" ht="12.2" customHeight="1" x14ac:dyDescent="0.15">
      <c r="A551" s="22" t="s">
        <v>634</v>
      </c>
      <c r="B551" s="75">
        <v>21</v>
      </c>
      <c r="C551" s="75">
        <v>23</v>
      </c>
      <c r="D551" s="2" t="s">
        <v>432</v>
      </c>
      <c r="E551" s="75"/>
      <c r="F551" s="87">
        <f>L523</f>
        <v>1772050.7117039999</v>
      </c>
      <c r="G551" s="87">
        <f>L528</f>
        <v>259132.79</v>
      </c>
      <c r="H551" s="87">
        <f>L533</f>
        <v>42199.1</v>
      </c>
      <c r="I551" s="87">
        <f>L538</f>
        <v>0</v>
      </c>
      <c r="J551" s="87">
        <f>L543</f>
        <v>36348</v>
      </c>
      <c r="K551" s="87">
        <f>SUM(F551:J551)</f>
        <v>2109730.601704</v>
      </c>
      <c r="L551" s="24" t="s">
        <v>288</v>
      </c>
      <c r="M551" s="8"/>
      <c r="N551" s="264"/>
    </row>
    <row r="552" spans="1:14" s="3" customFormat="1" ht="12.2" customHeight="1" thickBot="1" x14ac:dyDescent="0.2">
      <c r="A552" s="22" t="s">
        <v>635</v>
      </c>
      <c r="B552" s="75">
        <v>21</v>
      </c>
      <c r="C552" s="75">
        <v>24</v>
      </c>
      <c r="D552" s="2" t="s">
        <v>432</v>
      </c>
      <c r="E552" s="75"/>
      <c r="F552" s="87">
        <f>L524</f>
        <v>2685207.4599639997</v>
      </c>
      <c r="G552" s="87">
        <f>L529</f>
        <v>341525.39</v>
      </c>
      <c r="H552" s="87">
        <f>L534</f>
        <v>55616.498605388289</v>
      </c>
      <c r="I552" s="87">
        <f>L539</f>
        <v>0</v>
      </c>
      <c r="J552" s="87">
        <f>L544</f>
        <v>10643</v>
      </c>
      <c r="K552" s="87">
        <f>SUM(F552:J552)</f>
        <v>3092992.348569388</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8016647.744634999</v>
      </c>
      <c r="G553" s="89">
        <f t="shared" si="43"/>
        <v>1077027.3999999999</v>
      </c>
      <c r="H553" s="89">
        <f t="shared" si="43"/>
        <v>175391.07860538829</v>
      </c>
      <c r="I553" s="89">
        <f t="shared" si="43"/>
        <v>0</v>
      </c>
      <c r="J553" s="89">
        <f t="shared" si="43"/>
        <v>55070</v>
      </c>
      <c r="K553" s="89">
        <f t="shared" si="43"/>
        <v>9324136.2232403886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19803</v>
      </c>
      <c r="G576" s="18"/>
      <c r="H576" s="18"/>
      <c r="I576" s="87">
        <f>SUM(F576:H576)</f>
        <v>19803</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55305</v>
      </c>
      <c r="G580" s="18"/>
      <c r="H580" s="18">
        <v>121380</v>
      </c>
      <c r="I580" s="87">
        <f t="shared" si="48"/>
        <v>176685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93865+29072</f>
        <v>122937</v>
      </c>
      <c r="G583" s="18">
        <f>620721+50011</f>
        <v>670732</v>
      </c>
      <c r="H583" s="18">
        <f>1107283+537155</f>
        <v>1644438</v>
      </c>
      <c r="I583" s="87">
        <f t="shared" si="48"/>
        <v>2438107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581923.31000000006</v>
      </c>
      <c r="I592" s="18">
        <v>316551</v>
      </c>
      <c r="J592" s="18">
        <v>417200</v>
      </c>
      <c r="K592" s="104">
        <f t="shared" ref="K592:K598" si="49">SUM(H592:J592)</f>
        <v>1315674.31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8079</v>
      </c>
      <c r="I593" s="18">
        <v>36347.99</v>
      </c>
      <c r="J593" s="18">
        <v>10643</v>
      </c>
      <c r="K593" s="104">
        <f t="shared" si="49"/>
        <v>55069.99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1124.3900000000001</v>
      </c>
      <c r="K595" s="104">
        <f t="shared" si="49"/>
        <v>1124.3900000000001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9"/>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590002.31000000006</v>
      </c>
      <c r="I599" s="108">
        <f>SUM(I592:I598)</f>
        <v>352898.99</v>
      </c>
      <c r="J599" s="108">
        <f>SUM(J592:J598)</f>
        <v>428967.39</v>
      </c>
      <c r="K599" s="108">
        <f>SUM(K592:K598)</f>
        <v>1371868.69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J212+J291</f>
        <v>429786.133026</v>
      </c>
      <c r="I605" s="18">
        <f>J230+J310</f>
        <v>316783.27311627113</v>
      </c>
      <c r="J605" s="18">
        <f>J329+J248</f>
        <v>443310.47385772888</v>
      </c>
      <c r="K605" s="104">
        <f>SUM(H605:J605)</f>
        <v>1189879.8799999999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429786.133026</v>
      </c>
      <c r="I606" s="108">
        <f>SUM(I603:I605)</f>
        <v>316783.27311627113</v>
      </c>
      <c r="J606" s="108">
        <f>SUM(J603:J605)</f>
        <v>443310.47385772888</v>
      </c>
      <c r="K606" s="108">
        <f>SUM(K603:K605)</f>
        <v>1189879.8799999999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35433</v>
      </c>
      <c r="G612" s="18">
        <v>8165.77</v>
      </c>
      <c r="H612" s="18">
        <v>0</v>
      </c>
      <c r="I612" s="18">
        <v>0</v>
      </c>
      <c r="J612" s="18">
        <v>0</v>
      </c>
      <c r="K612" s="18">
        <v>0</v>
      </c>
      <c r="L612" s="88">
        <f>SUM(F612:K612)</f>
        <v>43598.770000000004</v>
      </c>
      <c r="M612" s="8"/>
      <c r="N612" s="264"/>
    </row>
    <row r="613" spans="1:14" s="3" customFormat="1" ht="12.2" customHeight="1" x14ac:dyDescent="0.15">
      <c r="A613" s="22" t="s">
        <v>634</v>
      </c>
      <c r="B613" s="75">
        <v>23</v>
      </c>
      <c r="C613" s="75">
        <v>14</v>
      </c>
      <c r="D613" s="2" t="s">
        <v>432</v>
      </c>
      <c r="E613" s="75"/>
      <c r="F613" s="18">
        <v>19274.653667999999</v>
      </c>
      <c r="G613" s="18">
        <v>4441.9716360000002</v>
      </c>
      <c r="H613" s="18">
        <v>0</v>
      </c>
      <c r="I613" s="18">
        <v>0</v>
      </c>
      <c r="J613" s="18">
        <v>0</v>
      </c>
      <c r="K613" s="18">
        <v>0</v>
      </c>
      <c r="L613" s="88">
        <f>SUM(F613:K613)</f>
        <v>23716.625304000001</v>
      </c>
      <c r="M613" s="8"/>
      <c r="N613" s="264"/>
    </row>
    <row r="614" spans="1:14" s="3" customFormat="1" ht="12.2" customHeight="1" thickBot="1" x14ac:dyDescent="0.2">
      <c r="A614" s="22" t="s">
        <v>645</v>
      </c>
      <c r="B614" s="75">
        <v>23</v>
      </c>
      <c r="C614" s="75">
        <v>15</v>
      </c>
      <c r="D614" s="2" t="s">
        <v>432</v>
      </c>
      <c r="E614" s="75"/>
      <c r="F614" s="18">
        <v>25403.126332</v>
      </c>
      <c r="G614" s="18">
        <v>5854.3183640000007</v>
      </c>
      <c r="H614" s="18">
        <v>0</v>
      </c>
      <c r="I614" s="18">
        <v>0</v>
      </c>
      <c r="J614" s="18">
        <v>0</v>
      </c>
      <c r="K614" s="18">
        <v>0</v>
      </c>
      <c r="L614" s="88">
        <f>SUM(F614:K614)</f>
        <v>31257.444695999999</v>
      </c>
      <c r="M614" s="8"/>
      <c r="N614" s="264"/>
    </row>
    <row r="615" spans="1:14" s="3" customFormat="1" ht="12.2" customHeight="1" thickTop="1" x14ac:dyDescent="0.15">
      <c r="A615" s="98" t="s">
        <v>340</v>
      </c>
      <c r="B615" s="107">
        <v>23</v>
      </c>
      <c r="C615" s="107">
        <v>16</v>
      </c>
      <c r="D615" s="39" t="s">
        <v>432</v>
      </c>
      <c r="E615" s="107"/>
      <c r="F615" s="108">
        <f t="shared" ref="F615:L615" si="50">SUM(F612:F614)</f>
        <v>80110.78</v>
      </c>
      <c r="G615" s="108">
        <f t="shared" si="50"/>
        <v>18462.060000000001</v>
      </c>
      <c r="H615" s="108">
        <f t="shared" si="50"/>
        <v>0</v>
      </c>
      <c r="I615" s="108">
        <f t="shared" si="50"/>
        <v>0</v>
      </c>
      <c r="J615" s="108">
        <f t="shared" si="50"/>
        <v>0</v>
      </c>
      <c r="K615" s="108">
        <f t="shared" si="50"/>
        <v>0</v>
      </c>
      <c r="L615" s="89">
        <f t="shared" si="50"/>
        <v>98572.84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2699322.64</v>
      </c>
      <c r="H618" s="109">
        <f>SUM(F52)</f>
        <v>2699322.64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92437.81</v>
      </c>
      <c r="H619" s="109">
        <f>SUM(G52)</f>
        <v>92437.810000000027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1954779.07</v>
      </c>
      <c r="H620" s="109">
        <f>SUM(H52)</f>
        <v>1954779.07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8802830.4499999993</v>
      </c>
      <c r="H622" s="109">
        <f>SUM(J52)</f>
        <v>8802830.4499999993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1849625.8</v>
      </c>
      <c r="H623" s="109">
        <f>F477</f>
        <v>1849625.7974069938</v>
      </c>
      <c r="I623" s="121" t="s">
        <v>101</v>
      </c>
      <c r="J623" s="109">
        <f t="shared" ref="J623:J656" si="51">G623-H623</f>
        <v>2.5930062402039766E-3</v>
      </c>
      <c r="K623" s="109"/>
      <c r="L623" s="109"/>
      <c r="M623" s="8"/>
    </row>
    <row r="624" spans="1:14" s="3" customFormat="1" ht="12.2" customHeight="1" x14ac:dyDescent="0.15">
      <c r="A624" s="97"/>
      <c r="B624" s="105"/>
      <c r="C624" s="119"/>
      <c r="D624" s="119"/>
      <c r="E624" s="119"/>
      <c r="F624" s="119" t="s">
        <v>866</v>
      </c>
      <c r="G624" s="109">
        <f>G51</f>
        <v>-89137.26999999999</v>
      </c>
      <c r="H624" s="109">
        <f>G477</f>
        <v>-89137.270000000019</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-46115.73</v>
      </c>
      <c r="H625" s="109">
        <f>H477</f>
        <v>-46115.730000000447</v>
      </c>
      <c r="I625" s="121" t="s">
        <v>103</v>
      </c>
      <c r="J625" s="109">
        <f t="shared" si="51"/>
        <v>4.4383341446518898E-10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8802830.4499999993</v>
      </c>
      <c r="H627" s="109">
        <f>J477</f>
        <v>8802830.4500000011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35108108.32</v>
      </c>
      <c r="H628" s="104">
        <f>SUM(F469)</f>
        <v>35108108.32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701682.05</v>
      </c>
      <c r="H629" s="104">
        <f>SUM(G469)</f>
        <v>701682.05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3358970.28</v>
      </c>
      <c r="H630" s="104">
        <f>SUM(H469)</f>
        <v>3358970.28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1465102.17</v>
      </c>
      <c r="H632" s="104">
        <f>SUM(J469)</f>
        <v>1465102.1700000002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36095093.102593005</v>
      </c>
      <c r="H633" s="104">
        <f>SUM(F473)</f>
        <v>36095093.102593005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3348284.85</v>
      </c>
      <c r="H634" s="104">
        <f>SUM(H473)</f>
        <v>3348284.85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645865.30000000005</v>
      </c>
      <c r="H636" s="104">
        <f>SUM(G473)</f>
        <v>645865.30000000005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1465102.1700000002</v>
      </c>
      <c r="H638" s="164">
        <f>SUM(J469)</f>
        <v>1465102.1700000002</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407637.57999999996</v>
      </c>
      <c r="H639" s="164">
        <f>SUM(J473)</f>
        <v>407637.57999999996</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8802830.4499999993</v>
      </c>
      <c r="H641" s="104">
        <f>SUM(G462)</f>
        <v>8802830.4499999993</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8802830.4499999993</v>
      </c>
      <c r="H643" s="104">
        <f>SUM(I462)</f>
        <v>8802830.4499999993</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465102.17</v>
      </c>
      <c r="H645" s="104">
        <f>H409</f>
        <v>465102.17000000004</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1000000</v>
      </c>
      <c r="H646" s="104">
        <f>G409</f>
        <v>1000000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1465102.17</v>
      </c>
      <c r="H647" s="104">
        <f>L409</f>
        <v>1465102.1700000002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1371868.69</v>
      </c>
      <c r="H648" s="104">
        <f>L209+L227+L245</f>
        <v>1371868.69</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1189879.8799999999</v>
      </c>
      <c r="H649" s="104">
        <f>(J258+J339)-(J256+J337)</f>
        <v>1189879.8799999999</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590002.30999999994</v>
      </c>
      <c r="H650" s="104">
        <f>H599</f>
        <v>590002.31000000006</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352898.98999999993</v>
      </c>
      <c r="H651" s="104">
        <f>I599</f>
        <v>352898.99</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428967.39000000007</v>
      </c>
      <c r="H652" s="104">
        <f>J599</f>
        <v>428967.39</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1000000</v>
      </c>
      <c r="H656" s="104">
        <f>K267+K348</f>
        <v>1000000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2.5929957628250122E-3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16494757.699999999</v>
      </c>
      <c r="G661" s="19">
        <f>(L230+L310+L360)</f>
        <v>8475494.8824365716</v>
      </c>
      <c r="H661" s="19">
        <f>(L248+L329+L361)</f>
        <v>12858046.310156431</v>
      </c>
      <c r="I661" s="19">
        <f>SUM(F661:H661)</f>
        <v>37828298.892592996</v>
      </c>
      <c r="J661" s="13"/>
      <c r="K661" s="13"/>
      <c r="L661" s="13"/>
      <c r="M661" s="9"/>
    </row>
    <row r="662" spans="1:13" s="3" customFormat="1" ht="12.2" customHeight="1" x14ac:dyDescent="0.2">
      <c r="A662" s="1" t="s">
        <v>127</v>
      </c>
      <c r="F662" s="19">
        <f>(L359/IF(SUM(L359:L361)=0,1,SUM(L359:L361))*(SUM(G97:G110)))</f>
        <v>3496.4011699583493</v>
      </c>
      <c r="G662" s="19">
        <f>(L360/IF(SUM(L359:L361)=0,1,SUM(L359:L361))*(SUM(G97:G110)))</f>
        <v>1232.0689100761413</v>
      </c>
      <c r="H662" s="19">
        <f>(L361/IF(SUM(L359:L361)=0,1,SUM(L359:L361))*(SUM(G97:G110)))</f>
        <v>3696.9799199655104</v>
      </c>
      <c r="I662" s="19">
        <f>SUM(F662:H662)</f>
        <v>8425.4500000000007</v>
      </c>
      <c r="J662"/>
      <c r="K662" s="13"/>
      <c r="L662" s="13"/>
      <c r="M662" s="8"/>
    </row>
    <row r="663" spans="1:13" s="3" customFormat="1" ht="12.2" customHeight="1" x14ac:dyDescent="0.2">
      <c r="A663" s="1" t="s">
        <v>128</v>
      </c>
      <c r="F663" s="19">
        <f>(L209+L288)-(J209+J288)</f>
        <v>465770.47</v>
      </c>
      <c r="G663" s="19">
        <f>(L227+L307)-(J227+J307)</f>
        <v>285320.0199999999</v>
      </c>
      <c r="H663" s="19">
        <f>(L245+L326)-(J245+J326)</f>
        <v>339901.33000000007</v>
      </c>
      <c r="I663" s="19">
        <f>SUM(F663:H663)</f>
        <v>1090991.8199999998</v>
      </c>
      <c r="J663"/>
      <c r="K663" s="13"/>
      <c r="L663" s="13"/>
      <c r="M663" s="9"/>
    </row>
    <row r="664" spans="1:13" s="3" customFormat="1" ht="12.2" customHeight="1" x14ac:dyDescent="0.15">
      <c r="A664" s="198" t="s">
        <v>129</v>
      </c>
      <c r="B664" s="169"/>
      <c r="C664" s="169"/>
      <c r="D664" s="169"/>
      <c r="E664" s="169"/>
      <c r="F664" s="199">
        <f>SUM(F576:F588)+SUM(H603:H605)+SUM(L612)</f>
        <v>671429.90302600001</v>
      </c>
      <c r="G664" s="199">
        <f>SUM(G576:G588)+SUM(I603:I605)+L613</f>
        <v>1011231.8984202711</v>
      </c>
      <c r="H664" s="199">
        <f>SUM(H576:H588)+SUM(J603:J605)+L614</f>
        <v>2240385.9185537286</v>
      </c>
      <c r="I664" s="19">
        <f>SUM(F664:H664)</f>
        <v>3923047.7199999997</v>
      </c>
      <c r="J664" s="13"/>
      <c r="K664" s="13"/>
      <c r="L664" s="13"/>
      <c r="M664" s="9"/>
    </row>
    <row r="665" spans="1:13" s="3" customFormat="1" ht="12.2" customHeight="1" x14ac:dyDescent="0.15">
      <c r="A665" s="1" t="s">
        <v>130</v>
      </c>
      <c r="F665" s="19">
        <f>F661-SUM(F662:F664)</f>
        <v>15354060.925804041</v>
      </c>
      <c r="G665" s="19">
        <f>G661-SUM(G662:G664)</f>
        <v>7177710.8951062243</v>
      </c>
      <c r="H665" s="19">
        <f>H661-SUM(H662:H664)</f>
        <v>10274062.081682738</v>
      </c>
      <c r="I665" s="19">
        <f>I661-SUM(I662:I664)</f>
        <v>32805833.902592998</v>
      </c>
      <c r="J665" s="13"/>
      <c r="K665" s="13"/>
      <c r="L665" s="13"/>
      <c r="M665" s="8"/>
    </row>
    <row r="666" spans="1:13" s="3" customFormat="1" ht="12.2" customHeight="1" x14ac:dyDescent="0.25">
      <c r="A666" s="1" t="s">
        <v>131</v>
      </c>
      <c r="F666" s="359">
        <v>697.95</v>
      </c>
      <c r="G666" s="359">
        <v>390.79</v>
      </c>
      <c r="H666" s="359">
        <v>510.94</v>
      </c>
      <c r="I666" s="19">
        <f>SUM(F666:H666)</f>
        <v>1599.68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21998.799999999999</v>
      </c>
      <c r="G668" s="19">
        <f>ROUND(G665/G666,2)</f>
        <v>18367.18</v>
      </c>
      <c r="H668" s="19">
        <f>ROUND(H665/H666,2)</f>
        <v>20108.16</v>
      </c>
      <c r="I668" s="19">
        <f>ROUND(I665/I666,2)</f>
        <v>20507.75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-2.67</v>
      </c>
      <c r="I671" s="19">
        <f>SUM(F671:H671)</f>
        <v>-2.67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21998.799999999999</v>
      </c>
      <c r="G673" s="19">
        <f>ROUND((G665+G670)/(G666+G671),2)</f>
        <v>18367.18</v>
      </c>
      <c r="H673" s="19">
        <f>ROUND((H665+H670)/(H666+H671),2)</f>
        <v>20213.79</v>
      </c>
      <c r="I673" s="19">
        <f>ROUND((I665+I670)/(I666+I671),2)</f>
        <v>20542.03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0" sqref="E30"/>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578370.11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448577.24</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349226.84</v>
      </c>
      <c r="F22" s="346"/>
    </row>
    <row r="23" spans="2:8" x14ac:dyDescent="0.25">
      <c r="B23" s="346"/>
      <c r="C23" s="346"/>
      <c r="D23" s="346"/>
      <c r="E23" s="346"/>
      <c r="F23" s="346"/>
    </row>
    <row r="24" spans="2:8" ht="26.25" customHeight="1" x14ac:dyDescent="0.25">
      <c r="B24" s="346"/>
      <c r="C24" s="348" t="s">
        <v>1661</v>
      </c>
      <c r="D24" s="346"/>
      <c r="E24" s="341">
        <v>63873.03</v>
      </c>
      <c r="F24" s="346"/>
    </row>
    <row r="25" spans="2:8" ht="18" x14ac:dyDescent="0.25">
      <c r="B25" s="346"/>
      <c r="C25" s="349"/>
      <c r="D25" s="346"/>
      <c r="E25" s="346"/>
      <c r="F25" s="346"/>
    </row>
    <row r="26" spans="2:8" ht="27.75" customHeight="1" x14ac:dyDescent="0.25">
      <c r="B26" s="346"/>
      <c r="C26" s="348" t="s">
        <v>1662</v>
      </c>
      <c r="D26" s="346"/>
      <c r="E26" s="341">
        <v>285353.81</v>
      </c>
      <c r="F26" s="346"/>
    </row>
    <row r="27" spans="2:8" x14ac:dyDescent="0.25">
      <c r="B27" s="346"/>
      <c r="C27" s="348"/>
      <c r="D27" s="346"/>
      <c r="E27" s="346"/>
      <c r="F27" s="346"/>
    </row>
    <row r="28" spans="2:8" ht="15.75" customHeight="1" x14ac:dyDescent="0.25">
      <c r="B28" s="346"/>
      <c r="C28" s="348" t="s">
        <v>1663</v>
      </c>
      <c r="D28" s="346"/>
      <c r="E28" s="342">
        <v>326382.01</v>
      </c>
      <c r="F28" s="346"/>
    </row>
    <row r="29" spans="2:8" x14ac:dyDescent="0.25">
      <c r="B29" s="346"/>
      <c r="C29" s="346"/>
      <c r="D29" s="346"/>
      <c r="E29" s="346"/>
      <c r="F29" s="346"/>
    </row>
    <row r="30" spans="2:8" ht="16.5" customHeight="1" x14ac:dyDescent="0.25">
      <c r="B30" s="346"/>
      <c r="C30" s="348" t="s">
        <v>1664</v>
      </c>
      <c r="D30" s="346"/>
      <c r="E30" s="341">
        <v>351338.5</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Claremont School District</v>
      </c>
      <c r="C5" s="363"/>
      <c r="D5" s="363"/>
      <c r="E5" s="363"/>
      <c r="F5" s="363"/>
    </row>
    <row r="8" spans="1:9" ht="18" x14ac:dyDescent="0.25">
      <c r="A8" s="317" t="s">
        <v>1576</v>
      </c>
      <c r="F8" s="324" t="s">
        <v>1594</v>
      </c>
    </row>
    <row r="9" spans="1:9" ht="15" x14ac:dyDescent="0.2">
      <c r="A9" s="315" t="s">
        <v>1577</v>
      </c>
      <c r="B9" s="318">
        <f>'DOE25'!G97</f>
        <v>8425.4500000000007</v>
      </c>
      <c r="F9" s="315" t="s">
        <v>1590</v>
      </c>
    </row>
    <row r="10" spans="1:9" ht="15" x14ac:dyDescent="0.2">
      <c r="A10" s="315" t="s">
        <v>1578</v>
      </c>
      <c r="B10" s="318">
        <f>'DOE25'!G112-'DOE25'!G97</f>
        <v>0</v>
      </c>
      <c r="F10" s="315" t="s">
        <v>1591</v>
      </c>
    </row>
    <row r="11" spans="1:9" ht="15" x14ac:dyDescent="0.2">
      <c r="A11" s="315" t="s">
        <v>1579</v>
      </c>
      <c r="B11" s="318">
        <f>'DOE25'!G140</f>
        <v>12687.04</v>
      </c>
      <c r="F11" s="315" t="s">
        <v>1592</v>
      </c>
    </row>
    <row r="12" spans="1:9" ht="15" x14ac:dyDescent="0.2">
      <c r="A12" s="315" t="s">
        <v>1580</v>
      </c>
      <c r="B12" s="318">
        <f>'DOE25'!G170</f>
        <v>680569.56</v>
      </c>
      <c r="F12" s="315" t="s">
        <v>1593</v>
      </c>
    </row>
    <row r="13" spans="1:9" ht="15" x14ac:dyDescent="0.2">
      <c r="A13" s="315" t="s">
        <v>1581</v>
      </c>
      <c r="B13" s="318">
        <f>'DOE25'!G193-'DOE25'!G180</f>
        <v>0</v>
      </c>
      <c r="F13" s="315" t="s">
        <v>1603</v>
      </c>
    </row>
    <row r="14" spans="1:9" ht="18" x14ac:dyDescent="0.25">
      <c r="A14" s="317" t="s">
        <v>732</v>
      </c>
      <c r="B14" s="319">
        <f>SUM(B9:B13)</f>
        <v>701682.05</v>
      </c>
    </row>
    <row r="16" spans="1:9" ht="18" x14ac:dyDescent="0.25">
      <c r="A16" s="317" t="s">
        <v>786</v>
      </c>
      <c r="F16" s="324" t="s">
        <v>1595</v>
      </c>
    </row>
    <row r="17" spans="1:6" ht="15" x14ac:dyDescent="0.2">
      <c r="A17" s="315" t="s">
        <v>1582</v>
      </c>
      <c r="B17" s="318">
        <f>'DOE25'!L363-'DOE25'!L362</f>
        <v>645865.30000000005</v>
      </c>
      <c r="F17" s="315" t="s">
        <v>1596</v>
      </c>
    </row>
    <row r="18" spans="1:6" ht="15" x14ac:dyDescent="0.2">
      <c r="A18" s="315" t="s">
        <v>1583</v>
      </c>
      <c r="B18" s="328"/>
      <c r="F18" s="324" t="s">
        <v>1620</v>
      </c>
    </row>
    <row r="19" spans="1:6" ht="18" x14ac:dyDescent="0.25">
      <c r="A19" s="317" t="s">
        <v>725</v>
      </c>
      <c r="B19" s="319">
        <f>SUM(B17:B18)</f>
        <v>645865.30000000005</v>
      </c>
    </row>
    <row r="21" spans="1:6" ht="18.75" thickBot="1" x14ac:dyDescent="0.3">
      <c r="A21" s="317" t="s">
        <v>1584</v>
      </c>
    </row>
    <row r="22" spans="1:6" ht="18.75" thickTop="1" x14ac:dyDescent="0.25">
      <c r="A22" s="317" t="s">
        <v>1585</v>
      </c>
      <c r="B22" s="323">
        <f>B14-B19</f>
        <v>55816.75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-144954.01999999999</v>
      </c>
      <c r="F31" s="315" t="s">
        <v>1600</v>
      </c>
    </row>
    <row r="33" spans="1:6" ht="15" x14ac:dyDescent="0.2">
      <c r="A33" s="315" t="s">
        <v>1629</v>
      </c>
      <c r="B33" s="318">
        <f>'DOE25'!G477</f>
        <v>-89137.270000000019</v>
      </c>
      <c r="F33" s="315" t="s">
        <v>1601</v>
      </c>
    </row>
    <row r="36" spans="1:6" ht="15" x14ac:dyDescent="0.2">
      <c r="A36" s="315" t="s">
        <v>1587</v>
      </c>
      <c r="B36" s="329">
        <f>17677.55+18570.86+24770.73+5005.11+4030.15</f>
        <v>70054.399999999994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G33" sqref="G3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Claremont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7049392.8100000005</v>
      </c>
      <c r="C9" s="229">
        <f>'DOE25'!G198+'DOE25'!G216+'DOE25'!G234+'DOE25'!G277+'DOE25'!G296+'DOE25'!G315</f>
        <v>4076660.9499999993</v>
      </c>
    </row>
    <row r="10" spans="1:3" x14ac:dyDescent="0.2">
      <c r="A10" t="s">
        <v>775</v>
      </c>
      <c r="B10" s="240">
        <f>9124.9+9630+6074372.21+136671+74808</f>
        <v>6304606.1100000003</v>
      </c>
      <c r="C10" s="240">
        <v>3645951.1090528094</v>
      </c>
    </row>
    <row r="11" spans="1:3" x14ac:dyDescent="0.2">
      <c r="A11" t="s">
        <v>776</v>
      </c>
      <c r="B11" s="240">
        <f>496975+237694</f>
        <v>734669</v>
      </c>
      <c r="C11" s="240">
        <v>424858.77921669529</v>
      </c>
    </row>
    <row r="12" spans="1:3" x14ac:dyDescent="0.2">
      <c r="A12" t="s">
        <v>777</v>
      </c>
      <c r="B12" s="240">
        <f>2537.7+7580</f>
        <v>10117.700000000001</v>
      </c>
      <c r="C12" s="240">
        <v>5851.061730494629</v>
      </c>
    </row>
    <row r="13" spans="1:3" x14ac:dyDescent="0.2">
      <c r="A13" t="str">
        <f>IF(B9=B13,IF(C9=C13,"Check Total OK","Check Total Error"),"Check Total Error")</f>
        <v>Check Total OK</v>
      </c>
      <c r="B13" s="231">
        <f>SUM(B10:B12)</f>
        <v>7049392.8100000005</v>
      </c>
      <c r="C13" s="231">
        <f>SUM(C10:C12)</f>
        <v>4076660.9499999993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3818855.5199999996</v>
      </c>
      <c r="C18" s="229">
        <f>'DOE25'!G199+'DOE25'!G217+'DOE25'!G235+'DOE25'!G278+'DOE25'!G297+'DOE25'!G316</f>
        <v>1712686.52</v>
      </c>
    </row>
    <row r="19" spans="1:3" x14ac:dyDescent="0.2">
      <c r="A19" t="s">
        <v>775</v>
      </c>
      <c r="B19" s="240">
        <f>1992149+66068.6+390077.63</f>
        <v>2448295.23</v>
      </c>
      <c r="C19" s="240">
        <v>1098015.4173000241</v>
      </c>
    </row>
    <row r="20" spans="1:3" x14ac:dyDescent="0.2">
      <c r="A20" t="s">
        <v>776</v>
      </c>
      <c r="B20" s="240">
        <v>1367612.29</v>
      </c>
      <c r="C20" s="240">
        <v>613348.97887661681</v>
      </c>
    </row>
    <row r="21" spans="1:3" x14ac:dyDescent="0.2">
      <c r="A21" t="s">
        <v>777</v>
      </c>
      <c r="B21" s="240">
        <v>2948</v>
      </c>
      <c r="C21" s="240">
        <v>1322.1238233595182</v>
      </c>
    </row>
    <row r="22" spans="1:3" x14ac:dyDescent="0.2">
      <c r="A22" t="str">
        <f>IF(B18=B22,IF(C18=C22,"Check Total OK","Check Total Error"),"Check Total Error")</f>
        <v>Check Total OK</v>
      </c>
      <c r="B22" s="231">
        <f>SUM(B19:B21)</f>
        <v>3818855.52</v>
      </c>
      <c r="C22" s="231">
        <f>SUM(C19:C21)</f>
        <v>1712686.5200000005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474704.22000000003</v>
      </c>
      <c r="C27" s="234">
        <f>'DOE25'!G200+'DOE25'!G218+'DOE25'!G236+'DOE25'!G279+'DOE25'!G298+'DOE25'!G317</f>
        <v>244400.06</v>
      </c>
    </row>
    <row r="28" spans="1:3" x14ac:dyDescent="0.2">
      <c r="A28" t="s">
        <v>775</v>
      </c>
      <c r="B28" s="240">
        <v>472704.22</v>
      </c>
      <c r="C28" s="240">
        <v>243370.36593071194</v>
      </c>
    </row>
    <row r="29" spans="1:3" x14ac:dyDescent="0.2">
      <c r="A29" t="s">
        <v>776</v>
      </c>
      <c r="B29" s="240">
        <v>2000</v>
      </c>
      <c r="C29" s="240">
        <v>1029.6940692880294</v>
      </c>
    </row>
    <row r="30" spans="1:3" x14ac:dyDescent="0.2">
      <c r="A30" t="s">
        <v>777</v>
      </c>
      <c r="B30" s="240"/>
      <c r="C30" s="240">
        <v>0</v>
      </c>
    </row>
    <row r="31" spans="1:3" x14ac:dyDescent="0.2">
      <c r="A31" t="str">
        <f>IF(B27=B31,IF(C27=C31,"Check Total OK","Check Total Error"),"Check Total Error")</f>
        <v>Check Total OK</v>
      </c>
      <c r="B31" s="231">
        <f>SUM(B28:B30)</f>
        <v>474704.22</v>
      </c>
      <c r="C31" s="231">
        <f>SUM(C28:C30)</f>
        <v>244400.05999999997</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320824.51</v>
      </c>
      <c r="C36" s="235">
        <f>'DOE25'!G201+'DOE25'!G219+'DOE25'!G237+'DOE25'!G280+'DOE25'!G299+'DOE25'!G318</f>
        <v>56387.58</v>
      </c>
    </row>
    <row r="37" spans="1:3" x14ac:dyDescent="0.2">
      <c r="A37" t="s">
        <v>775</v>
      </c>
      <c r="B37" s="240">
        <f>75011.76+13700</f>
        <v>88711.76</v>
      </c>
      <c r="C37" s="240">
        <v>15591.830761124829</v>
      </c>
    </row>
    <row r="38" spans="1:3" x14ac:dyDescent="0.2">
      <c r="A38" t="s">
        <v>776</v>
      </c>
      <c r="B38" s="240">
        <v>12888.75</v>
      </c>
      <c r="C38" s="240">
        <v>2265.3051717432686</v>
      </c>
    </row>
    <row r="39" spans="1:3" x14ac:dyDescent="0.2">
      <c r="A39" t="s">
        <v>777</v>
      </c>
      <c r="B39" s="240">
        <v>219224</v>
      </c>
      <c r="C39" s="240">
        <v>38530.444067131903</v>
      </c>
    </row>
    <row r="40" spans="1:3" x14ac:dyDescent="0.2">
      <c r="A40" t="str">
        <f>IF(B36=B40,IF(C36=C40,"Check Total OK","Check Total Error"),"Check Total Error")</f>
        <v>Check Total OK</v>
      </c>
      <c r="B40" s="231">
        <f>SUM(B37:B39)</f>
        <v>320824.51</v>
      </c>
      <c r="C40" s="231">
        <f>SUM(C37:C39)</f>
        <v>56387.58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5" sqref="F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Claremont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20731186.490000002</v>
      </c>
      <c r="D5" s="20">
        <f>SUM('DOE25'!L198:L201)+SUM('DOE25'!L216:L219)+SUM('DOE25'!L234:L237)-F5-G5-H5</f>
        <v>20619209.910000004</v>
      </c>
      <c r="E5" s="243"/>
      <c r="F5" s="244">
        <v>0</v>
      </c>
      <c r="G5" s="53">
        <f>SUM('DOE25'!J198:J201)+SUM('DOE25'!J216:J219)+SUM('DOE25'!J234:J237)</f>
        <v>78118.239999999991</v>
      </c>
      <c r="H5" s="53">
        <f>SUM('DOE25'!K198:K201)+SUM('DOE25'!K216:K219)+SUM('DOE25'!K234:K237)</f>
        <v>33858.339999999997</v>
      </c>
      <c r="I5" s="254"/>
    </row>
    <row r="6" spans="1:9" x14ac:dyDescent="0.2">
      <c r="A6" s="32">
        <v>2100</v>
      </c>
      <c r="B6" t="s">
        <v>796</v>
      </c>
      <c r="C6" s="273">
        <f t="shared" si="0"/>
        <v>2022177.7200000002</v>
      </c>
      <c r="D6" s="20">
        <f>'DOE25'!L203+'DOE25'!L221+'DOE25'!L239-F6-G6-H6</f>
        <v>2015617.2400000002</v>
      </c>
      <c r="E6" s="243"/>
      <c r="F6" s="244">
        <v>0</v>
      </c>
      <c r="G6" s="53">
        <f>'DOE25'!J203+'DOE25'!J221+'DOE25'!J239</f>
        <v>5985.48</v>
      </c>
      <c r="H6" s="53">
        <f>'DOE25'!K203+'DOE25'!K221+'DOE25'!K239</f>
        <v>575</v>
      </c>
      <c r="I6" s="254"/>
    </row>
    <row r="7" spans="1:9" x14ac:dyDescent="0.2">
      <c r="A7" s="32">
        <v>2200</v>
      </c>
      <c r="B7" t="s">
        <v>821</v>
      </c>
      <c r="C7" s="273">
        <f t="shared" si="0"/>
        <v>948731.83999999985</v>
      </c>
      <c r="D7" s="20">
        <f>'DOE25'!L204+'DOE25'!L222+'DOE25'!L240-F7-G7-H7</f>
        <v>767193.65999999992</v>
      </c>
      <c r="E7" s="243"/>
      <c r="F7" s="244">
        <v>0</v>
      </c>
      <c r="G7" s="53">
        <f>'DOE25'!J204+'DOE25'!J222+'DOE25'!J240</f>
        <v>181538.18</v>
      </c>
      <c r="H7" s="53">
        <f>'DOE25'!K204+'DOE25'!K222+'DOE25'!K240</f>
        <v>0</v>
      </c>
      <c r="I7" s="254"/>
    </row>
    <row r="8" spans="1:9" x14ac:dyDescent="0.2">
      <c r="A8" s="32">
        <v>2300</v>
      </c>
      <c r="B8" t="s">
        <v>797</v>
      </c>
      <c r="C8" s="273">
        <f t="shared" si="0"/>
        <v>1051924.1300000001</v>
      </c>
      <c r="D8" s="243"/>
      <c r="E8" s="20">
        <f>'DOE25'!L205+'DOE25'!L223+'DOE25'!L241-F8-G8-H8-D9-D11</f>
        <v>1046865.4300000002</v>
      </c>
      <c r="F8" s="244">
        <v>0</v>
      </c>
      <c r="G8" s="53">
        <f>'DOE25'!J205+'DOE25'!J223+'DOE25'!J241</f>
        <v>0</v>
      </c>
      <c r="H8" s="53">
        <f>'DOE25'!K205+'DOE25'!K223+'DOE25'!K241</f>
        <v>5058.7</v>
      </c>
      <c r="I8" s="254"/>
    </row>
    <row r="9" spans="1:9" ht="14.25" x14ac:dyDescent="0.2">
      <c r="A9" s="32">
        <v>2310</v>
      </c>
      <c r="B9" s="185" t="s">
        <v>888</v>
      </c>
      <c r="C9" s="273">
        <f t="shared" si="0"/>
        <v>139150</v>
      </c>
      <c r="D9" s="244">
        <v>139150</v>
      </c>
      <c r="E9" s="243"/>
      <c r="F9" s="251"/>
      <c r="G9" s="251"/>
      <c r="H9" s="251"/>
      <c r="I9" s="254"/>
    </row>
    <row r="10" spans="1:9" ht="14.25" x14ac:dyDescent="0.2">
      <c r="A10" s="32">
        <v>2317</v>
      </c>
      <c r="B10" s="185" t="s">
        <v>889</v>
      </c>
      <c r="C10" s="273">
        <f t="shared" si="0"/>
        <v>32000</v>
      </c>
      <c r="D10" s="243"/>
      <c r="E10" s="244">
        <v>32000</v>
      </c>
      <c r="F10" s="251"/>
      <c r="G10" s="251"/>
      <c r="H10" s="251"/>
      <c r="I10" s="254"/>
    </row>
    <row r="11" spans="1:9" ht="14.25" x14ac:dyDescent="0.2">
      <c r="A11" s="32">
        <v>2321</v>
      </c>
      <c r="B11" s="185" t="s">
        <v>890</v>
      </c>
      <c r="C11" s="273">
        <f t="shared" si="0"/>
        <v>435409</v>
      </c>
      <c r="D11" s="244">
        <v>435409</v>
      </c>
      <c r="E11" s="243"/>
      <c r="F11" s="251"/>
      <c r="G11" s="251"/>
      <c r="H11" s="251"/>
      <c r="I11" s="254"/>
    </row>
    <row r="12" spans="1:9" x14ac:dyDescent="0.2">
      <c r="A12" s="32">
        <v>2400</v>
      </c>
      <c r="B12" t="s">
        <v>711</v>
      </c>
      <c r="C12" s="273">
        <f t="shared" si="0"/>
        <v>2971192.14</v>
      </c>
      <c r="D12" s="20">
        <f>'DOE25'!L206+'DOE25'!L224+'DOE25'!L242-F12-G12-H12</f>
        <v>2947665.2800000003</v>
      </c>
      <c r="E12" s="243"/>
      <c r="F12" s="244">
        <v>0</v>
      </c>
      <c r="G12" s="53">
        <f>'DOE25'!J206+'DOE25'!J224+'DOE25'!J242</f>
        <v>3786.94</v>
      </c>
      <c r="H12" s="53">
        <f>'DOE25'!K206+'DOE25'!K224+'DOE25'!K242</f>
        <v>19739.919999999998</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4162508.7300000004</v>
      </c>
      <c r="D14" s="20">
        <f>'DOE25'!L208+'DOE25'!L226+'DOE25'!L244-F14-G14-H14</f>
        <v>4115294.1800000006</v>
      </c>
      <c r="E14" s="243"/>
      <c r="F14" s="244">
        <f>66198-25000</f>
        <v>41198</v>
      </c>
      <c r="G14" s="53">
        <f>'DOE25'!J208+'DOE25'!J226+'DOE25'!J244</f>
        <v>6016.55</v>
      </c>
      <c r="H14" s="53">
        <f>'DOE25'!K208+'DOE25'!K226+'DOE25'!K244</f>
        <v>0</v>
      </c>
      <c r="I14" s="254"/>
    </row>
    <row r="15" spans="1:9" x14ac:dyDescent="0.2">
      <c r="A15" s="32">
        <v>2700</v>
      </c>
      <c r="B15" t="s">
        <v>799</v>
      </c>
      <c r="C15" s="273">
        <f t="shared" si="0"/>
        <v>1371868.69</v>
      </c>
      <c r="D15" s="20">
        <f>'DOE25'!L209+'DOE25'!L227+'DOE25'!L245-F15-G15-H15</f>
        <v>1090903.8599999999</v>
      </c>
      <c r="E15" s="243"/>
      <c r="F15" s="244">
        <v>0</v>
      </c>
      <c r="G15" s="53">
        <f>'DOE25'!J209+'DOE25'!J227+'DOE25'!J245</f>
        <v>280876.87</v>
      </c>
      <c r="H15" s="53">
        <f>'DOE25'!K209+'DOE25'!K227+'DOE25'!K245</f>
        <v>87.96</v>
      </c>
      <c r="I15" s="254"/>
    </row>
    <row r="16" spans="1:9" x14ac:dyDescent="0.2">
      <c r="A16" s="32">
        <v>2800</v>
      </c>
      <c r="B16" t="s">
        <v>800</v>
      </c>
      <c r="C16" s="273">
        <f t="shared" si="0"/>
        <v>2.5929960000000002E-3</v>
      </c>
      <c r="D16" s="243"/>
      <c r="E16" s="20">
        <f>'DOE25'!L210+'DOE25'!L228+'DOE25'!L246-F16-G16-H16</f>
        <v>0</v>
      </c>
      <c r="F16" s="244">
        <v>0</v>
      </c>
      <c r="G16" s="53">
        <f>'DOE25'!J210+'DOE25'!J228+'DOE25'!J246</f>
        <v>0</v>
      </c>
      <c r="H16" s="53">
        <f>'DOE25'!K210+'DOE25'!K228+'DOE25'!K246</f>
        <v>2.5929960000000002E-3</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1260944.3599999999</v>
      </c>
      <c r="D25" s="243"/>
      <c r="E25" s="243"/>
      <c r="F25" s="253"/>
      <c r="G25" s="251"/>
      <c r="H25" s="251"/>
      <c r="I25" s="252">
        <f>'DOE25'!L261+'DOE25'!L262+'DOE25'!L342+'DOE25'!L343</f>
        <v>1260944.3599999999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645865.30000000005</v>
      </c>
      <c r="D29" s="281">
        <f>'DOE25'!L359+'DOE25'!L360+'DOE25'!L361-'DOE25'!I368-F29-G29-H29</f>
        <v>242515.86000000004</v>
      </c>
      <c r="E29" s="243"/>
      <c r="F29" s="244">
        <v>403349.44</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3348284.85</v>
      </c>
      <c r="D31" s="20">
        <f>'DOE25'!L291+'DOE25'!L310+'DOE25'!L329+'DOE25'!L334+'DOE25'!L335+'DOE25'!L336-F31-G31-H31</f>
        <v>1838870.23</v>
      </c>
      <c r="E31" s="243"/>
      <c r="F31" s="244">
        <f>494903-25000+236738-25000</f>
        <v>681641</v>
      </c>
      <c r="G31" s="53">
        <f>'DOE25'!J291+'DOE25'!J310+'DOE25'!J329+'DOE25'!J334+'DOE25'!J335+'DOE25'!J336</f>
        <v>633557.62</v>
      </c>
      <c r="H31" s="53">
        <f>'DOE25'!K291+'DOE25'!K310+'DOE25'!K329+'DOE25'!K334+'DOE25'!K335+'DOE25'!K336</f>
        <v>194216</v>
      </c>
      <c r="I31" s="254"/>
    </row>
    <row r="32" spans="1:9" ht="12" thickBot="1" x14ac:dyDescent="0.25">
      <c r="C32" s="274"/>
      <c r="G32" s="249"/>
      <c r="H32" s="249"/>
      <c r="I32" s="256"/>
    </row>
    <row r="33" spans="1:9" ht="12" thickTop="1" x14ac:dyDescent="0.2">
      <c r="B33" t="s">
        <v>809</v>
      </c>
      <c r="D33" s="245">
        <f t="shared" ref="D33:I33" si="1">SUM(D5:D31)</f>
        <v>34211829.220000006</v>
      </c>
      <c r="E33" s="245">
        <f t="shared" si="1"/>
        <v>1078865.4300000002</v>
      </c>
      <c r="F33" s="245">
        <f t="shared" si="1"/>
        <v>1126188.44</v>
      </c>
      <c r="G33" s="245">
        <f t="shared" si="1"/>
        <v>1189879.8799999999</v>
      </c>
      <c r="H33" s="245">
        <f t="shared" si="1"/>
        <v>253535.92259299598</v>
      </c>
      <c r="I33" s="245">
        <f t="shared" si="1"/>
        <v>1260944.3599999999</v>
      </c>
    </row>
    <row r="35" spans="1:9" ht="12" thickBot="1" x14ac:dyDescent="0.25">
      <c r="B35" s="249" t="s">
        <v>831</v>
      </c>
      <c r="D35" s="250">
        <f>E33</f>
        <v>1078865.4300000002</v>
      </c>
      <c r="E35" s="246"/>
      <c r="F35" s="333" t="s">
        <v>1632</v>
      </c>
      <c r="G35" s="334"/>
      <c r="H35" s="334"/>
      <c r="I35" s="334"/>
    </row>
    <row r="36" spans="1:9" ht="12" thickTop="1" x14ac:dyDescent="0.2">
      <c r="B36" t="s">
        <v>810</v>
      </c>
      <c r="D36" s="20">
        <f>D33</f>
        <v>34211829.220000006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42" sqref="B4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Claremont School District</v>
      </c>
      <c r="B2" s="126">
        <f>'DOE25'!B2</f>
        <v>101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16226735.909999998</v>
      </c>
      <c r="G4" s="300">
        <f>'DOE25'!L212+'DOE25'!L291</f>
        <v>16226735.909999998</v>
      </c>
      <c r="H4" s="353">
        <f>F4-G4</f>
        <v>0</v>
      </c>
      <c r="I4" s="371" t="str">
        <f>IF(H4=0,"","ISSUES!! Please review page 7 and 11 totals in comparison with total on this page")</f>
        <v/>
      </c>
      <c r="N4"/>
    </row>
    <row r="5" spans="1:18" x14ac:dyDescent="0.2">
      <c r="A5" s="21" t="s">
        <v>967</v>
      </c>
      <c r="B5" s="301">
        <f>IFERROR(VLOOKUP(A5,'School Tables'!$C$3:$D$365,2,FALSE),"")</f>
        <v>20145</v>
      </c>
      <c r="C5" s="294" t="str">
        <f>IFERROR(INDEX('School Tables'!$B$3:$B$365,MATCH('School Level Expenditures'!B5,'School Tables'!$D$3:$D$365,0)),"")</f>
        <v>Claremont</v>
      </c>
      <c r="D5" s="291">
        <v>3000930.88</v>
      </c>
      <c r="E5" s="291">
        <v>426577.59</v>
      </c>
      <c r="F5" s="304">
        <f>D5+E5</f>
        <v>3427508.4699999997</v>
      </c>
      <c r="G5" s="294"/>
      <c r="H5" s="294"/>
      <c r="I5" s="372"/>
      <c r="N5"/>
    </row>
    <row r="6" spans="1:18" x14ac:dyDescent="0.2">
      <c r="A6" s="21" t="s">
        <v>968</v>
      </c>
      <c r="B6" s="301">
        <f>IFERROR(VLOOKUP(A6,'School Tables'!$C$3:$D$365,2,FALSE),"")</f>
        <v>20165</v>
      </c>
      <c r="C6" s="294" t="str">
        <f>IFERROR(INDEX('School Tables'!$B$3:$B$365,MATCH('School Level Expenditures'!B6,'School Tables'!$D$3:$D$365,0)),"")</f>
        <v>Claremont</v>
      </c>
      <c r="D6" s="291">
        <v>5036527.3499999996</v>
      </c>
      <c r="E6" s="291">
        <v>715934.42</v>
      </c>
      <c r="F6" s="304">
        <f t="shared" ref="F6:F20" si="0">D6+E6</f>
        <v>5752461.7699999996</v>
      </c>
      <c r="G6" s="294"/>
      <c r="H6" s="294"/>
      <c r="I6" s="372"/>
      <c r="N6"/>
    </row>
    <row r="7" spans="1:18" x14ac:dyDescent="0.2">
      <c r="A7" s="21" t="s">
        <v>1642</v>
      </c>
      <c r="B7" s="301">
        <f>IFERROR(VLOOKUP(A7,'School Tables'!$C$3:$D$365,2,FALSE),"")</f>
        <v>20160</v>
      </c>
      <c r="C7" s="294" t="str">
        <f>IFERROR(INDEX('School Tables'!$B$3:$B$365,MATCH('School Level Expenditures'!B7,'School Tables'!$D$3:$D$365,0)),"")</f>
        <v>Claremont</v>
      </c>
      <c r="D7" s="291">
        <v>6169746.0099999998</v>
      </c>
      <c r="E7" s="291">
        <v>877019.66</v>
      </c>
      <c r="F7" s="304">
        <f t="shared" si="0"/>
        <v>7046765.6699999999</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14207204.239999998</v>
      </c>
      <c r="E21" s="351">
        <f>SUM(E5:E20)</f>
        <v>2019531.67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8381048.8224365721</v>
      </c>
      <c r="G24" s="300">
        <f>'DOE25'!L230+'DOE25'!L310</f>
        <v>8381048.8224365721</v>
      </c>
      <c r="H24" s="353">
        <f>F24-G24</f>
        <v>0</v>
      </c>
      <c r="I24" s="371" t="str">
        <f>IF(H24=0,"","ISSUES!! Please review page 8 and 12 totals in comparison with total on this page")</f>
        <v/>
      </c>
      <c r="N24"/>
    </row>
    <row r="25" spans="1:14" x14ac:dyDescent="0.2">
      <c r="A25" s="21" t="s">
        <v>965</v>
      </c>
      <c r="B25" s="301">
        <f>IFERROR(VLOOKUP(A25,'School Tables'!$I$3:$J$80,2,FALSE),"")</f>
        <v>20115</v>
      </c>
      <c r="C25" s="294" t="str">
        <f t="array" ref="C25">IFERROR(INDEX('School Tables'!$H$3:$H$80,MATCH('School Level Expenditures'!B25,'School Tables'!$J$3:$J$80,0)),"")</f>
        <v>Claremont</v>
      </c>
      <c r="D25" s="291">
        <f>+'DOE25'!L230</f>
        <v>7800198.3500000006</v>
      </c>
      <c r="E25" s="291">
        <f>+'DOE25'!L310</f>
        <v>580850.47243657126</v>
      </c>
      <c r="F25" s="304">
        <f>D25+E25</f>
        <v>8381048.8224365721</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7800198.3500000006</v>
      </c>
      <c r="E33" s="351">
        <f>SUM(E25:E32)</f>
        <v>580850.47243657126</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12574648.860156432</v>
      </c>
      <c r="G36" s="300">
        <f>'DOE25'!L248+'DOE25'!L329</f>
        <v>12574648.860156432</v>
      </c>
      <c r="H36" s="353">
        <f>IF(AND(D43='DOE25'!L248,'School Level Expenditures'!E43='DOE25'!L329),'School Level Expenditures'!F36-'School Level Expenditures'!G36,"Does not match page 7 or 11 totals!!")</f>
        <v>0</v>
      </c>
      <c r="I36" s="371" t="str">
        <f>IF(H36=0,"","ISSUES!! Please review page 9 and 13 totals in comparison with total on this page")</f>
        <v/>
      </c>
      <c r="N36"/>
    </row>
    <row r="37" spans="1:14" x14ac:dyDescent="0.2">
      <c r="A37" s="21" t="s">
        <v>966</v>
      </c>
      <c r="B37" s="301">
        <f>IFERROR(VLOOKUP(A37,'School Tables'!$O$3:$P$118,2,FALSE),"")</f>
        <v>20140</v>
      </c>
      <c r="C37" s="294" t="str">
        <f t="array" ref="C37">IFERROR(INDEX('School Tables'!$N$3:$N$118,MATCH('School Level Expenditures'!B37,'School Tables'!$P$3:$P$118,0)),"")</f>
        <v>Claremont</v>
      </c>
      <c r="D37" s="291">
        <f>+'DOE25'!L248</f>
        <v>11697829.740000002</v>
      </c>
      <c r="E37" s="291">
        <f>+'DOE25'!L329</f>
        <v>876819.12015642878</v>
      </c>
      <c r="F37" s="304">
        <f t="shared" ref="F37:F42" si="2">D37+E37</f>
        <v>12574648.860156432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11697829.740000002</v>
      </c>
      <c r="E43" s="352">
        <f>SUM(E37:E42)</f>
        <v>876819.12015642878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24" activePane="bottomLeft" state="frozen"/>
      <selection activeCell="F46" sqref="F46"/>
      <selection pane="bottomLeft"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Claremont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534439.74000000011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8802830.4499999993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1722706.9200000002</v>
      </c>
      <c r="D11" s="95">
        <f>'DOE25'!G12</f>
        <v>81338.509999999995</v>
      </c>
      <c r="E11" s="95">
        <f>'DOE25'!H12</f>
        <v>0</v>
      </c>
      <c r="F11" s="95">
        <f>'DOE25'!I12</f>
        <v>0</v>
      </c>
      <c r="G11" s="95">
        <f>'DOE25'!J12</f>
        <v>0</v>
      </c>
      <c r="H11" s="124"/>
      <c r="I11" s="124"/>
    </row>
    <row r="12" spans="1:9" x14ac:dyDescent="0.2">
      <c r="A12" s="1" t="s">
        <v>143</v>
      </c>
      <c r="B12" s="6">
        <v>140</v>
      </c>
      <c r="C12" s="95">
        <f>'DOE25'!F13</f>
        <v>14821.59</v>
      </c>
      <c r="D12" s="95">
        <f>'DOE25'!G13</f>
        <v>0</v>
      </c>
      <c r="E12" s="95">
        <f>'DOE25'!H13</f>
        <v>1954848.07</v>
      </c>
      <c r="F12" s="95">
        <f>'DOE25'!I13</f>
        <v>0</v>
      </c>
      <c r="G12" s="95">
        <f>'DOE25'!J13</f>
        <v>0</v>
      </c>
      <c r="H12" s="124"/>
      <c r="I12" s="124"/>
    </row>
    <row r="13" spans="1:9" x14ac:dyDescent="0.2">
      <c r="A13" s="1" t="s">
        <v>144</v>
      </c>
      <c r="B13" s="6">
        <v>150</v>
      </c>
      <c r="C13" s="95">
        <f>'DOE25'!F14</f>
        <v>165029.96</v>
      </c>
      <c r="D13" s="95">
        <f>'DOE25'!G14</f>
        <v>0</v>
      </c>
      <c r="E13" s="95">
        <f>'DOE25'!H14</f>
        <v>-69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11099.3</v>
      </c>
      <c r="E15" s="95">
        <f>'DOE25'!H16</f>
        <v>0</v>
      </c>
      <c r="F15" s="95">
        <f>'DOE25'!I16</f>
        <v>0</v>
      </c>
      <c r="G15" s="24" t="s">
        <v>288</v>
      </c>
      <c r="H15" s="124"/>
      <c r="I15" s="124"/>
    </row>
    <row r="16" spans="1:9" x14ac:dyDescent="0.2">
      <c r="A16" s="1" t="s">
        <v>147</v>
      </c>
      <c r="B16" s="6">
        <v>180</v>
      </c>
      <c r="C16" s="95">
        <f>'DOE25'!F17</f>
        <v>262324.43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2699322.64</v>
      </c>
      <c r="D18" s="41">
        <f>SUM(D8:D17)</f>
        <v>92437.81</v>
      </c>
      <c r="E18" s="41">
        <f>SUM(E8:E17)</f>
        <v>1954779.07</v>
      </c>
      <c r="F18" s="41">
        <f>SUM(F8:F17)</f>
        <v>0</v>
      </c>
      <c r="G18" s="41">
        <f>SUM(G8:G17)</f>
        <v>8802830.4499999993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1736868.71</v>
      </c>
      <c r="F21" s="95">
        <f>'DOE25'!I22</f>
        <v>0</v>
      </c>
      <c r="G21" s="95">
        <f>'DOE25'!J22</f>
        <v>0</v>
      </c>
      <c r="H21" s="124"/>
      <c r="I21" s="124"/>
    </row>
    <row r="22" spans="1:9" x14ac:dyDescent="0.2">
      <c r="A22" s="1" t="s">
        <v>151</v>
      </c>
      <c r="B22" s="6">
        <v>410</v>
      </c>
      <c r="C22" s="95">
        <f>'DOE25'!F23</f>
        <v>-27390.9</v>
      </c>
      <c r="D22" s="95">
        <f>'DOE25'!G23</f>
        <v>125936.13</v>
      </c>
      <c r="E22" s="95">
        <f>'DOE25'!H23</f>
        <v>0</v>
      </c>
      <c r="F22" s="95">
        <f>'DOE25'!I23</f>
        <v>0</v>
      </c>
      <c r="G22" s="95">
        <f>'DOE25'!J23</f>
        <v>0</v>
      </c>
      <c r="H22" s="124"/>
      <c r="I22" s="124"/>
    </row>
    <row r="23" spans="1:9" x14ac:dyDescent="0.2">
      <c r="A23" s="1" t="s">
        <v>152</v>
      </c>
      <c r="B23" s="6">
        <v>420</v>
      </c>
      <c r="C23" s="95">
        <f>'DOE25'!F24</f>
        <v>400134.54</v>
      </c>
      <c r="D23" s="95">
        <f>'DOE25'!G24</f>
        <v>-4922.87</v>
      </c>
      <c r="E23" s="95">
        <f>'DOE25'!H24</f>
        <v>246896.29</v>
      </c>
      <c r="F23" s="95">
        <f>'DOE25'!I24</f>
        <v>0</v>
      </c>
      <c r="G23" s="95">
        <f>'DOE25'!J24</f>
        <v>0</v>
      </c>
      <c r="H23" s="124"/>
      <c r="I23" s="124"/>
    </row>
    <row r="24" spans="1:9" x14ac:dyDescent="0.2">
      <c r="A24" s="1" t="s">
        <v>153</v>
      </c>
      <c r="B24" s="6">
        <v>430</v>
      </c>
      <c r="C24" s="95">
        <f>'DOE25'!F25</f>
        <v>11172.89</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355584.18</v>
      </c>
      <c r="D27" s="95">
        <f>'DOE25'!G28</f>
        <v>54600.89</v>
      </c>
      <c r="E27" s="95">
        <f>'DOE25'!H28</f>
        <v>0</v>
      </c>
      <c r="F27" s="95">
        <f>'DOE25'!I28</f>
        <v>0</v>
      </c>
      <c r="G27" s="24" t="s">
        <v>288</v>
      </c>
      <c r="H27" s="124"/>
      <c r="I27" s="124"/>
    </row>
    <row r="28" spans="1:9" x14ac:dyDescent="0.2">
      <c r="A28" s="1" t="s">
        <v>157</v>
      </c>
      <c r="B28" s="6">
        <v>470</v>
      </c>
      <c r="C28" s="95">
        <f>'DOE25'!F29</f>
        <v>75463.24000000002</v>
      </c>
      <c r="D28" s="95">
        <f>'DOE25'!G29</f>
        <v>0</v>
      </c>
      <c r="E28" s="95">
        <f>'DOE25'!H29</f>
        <v>0</v>
      </c>
      <c r="F28" s="95">
        <f>'DOE25'!I29</f>
        <v>0</v>
      </c>
      <c r="G28" s="24" t="s">
        <v>288</v>
      </c>
      <c r="H28" s="124"/>
      <c r="I28" s="124"/>
    </row>
    <row r="29" spans="1:9" x14ac:dyDescent="0.2">
      <c r="A29" s="1" t="s">
        <v>158</v>
      </c>
      <c r="B29" s="6">
        <v>480</v>
      </c>
      <c r="C29" s="95">
        <f>'DOE25'!F30</f>
        <v>0</v>
      </c>
      <c r="D29" s="95">
        <f>'DOE25'!G30</f>
        <v>5960.93</v>
      </c>
      <c r="E29" s="95">
        <f>'DOE25'!H30</f>
        <v>17129.8</v>
      </c>
      <c r="F29" s="95">
        <f>'DOE25'!I30</f>
        <v>0</v>
      </c>
      <c r="G29" s="24" t="s">
        <v>288</v>
      </c>
      <c r="H29" s="124"/>
      <c r="I29" s="124"/>
    </row>
    <row r="30" spans="1:9" ht="12" thickBot="1" x14ac:dyDescent="0.25">
      <c r="A30" s="1" t="s">
        <v>159</v>
      </c>
      <c r="B30" s="71">
        <v>490</v>
      </c>
      <c r="C30" s="95">
        <f>'DOE25'!F31</f>
        <v>34732.890000000007</v>
      </c>
      <c r="D30" s="95">
        <f>'DOE25'!G31</f>
        <v>0</v>
      </c>
      <c r="E30" s="95">
        <f>'DOE25'!H31</f>
        <v>0</v>
      </c>
      <c r="F30" s="95">
        <f>'DOE25'!I31</f>
        <v>0</v>
      </c>
      <c r="G30" s="95">
        <f>'DOE25'!J31</f>
        <v>0</v>
      </c>
      <c r="H30" s="124"/>
      <c r="I30" s="124"/>
    </row>
    <row r="31" spans="1:9" ht="12" thickTop="1" x14ac:dyDescent="0.2">
      <c r="A31" s="38" t="s">
        <v>160</v>
      </c>
      <c r="B31" s="2"/>
      <c r="C31" s="41">
        <f>SUM(C21:C30)</f>
        <v>849696.84</v>
      </c>
      <c r="D31" s="41">
        <f>SUM(D21:D30)</f>
        <v>181575.08000000002</v>
      </c>
      <c r="E31" s="41">
        <f>SUM(E21:E30)</f>
        <v>2000894.8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426494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392657</v>
      </c>
      <c r="D47" s="95">
        <f>'DOE25'!G48</f>
        <v>-89137.26999999999</v>
      </c>
      <c r="E47" s="95">
        <f>'DOE25'!H48</f>
        <v>-46115.73</v>
      </c>
      <c r="F47" s="95">
        <f>'DOE25'!I48</f>
        <v>0</v>
      </c>
      <c r="G47" s="95">
        <f>'DOE25'!J48</f>
        <v>8802830.4499999993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1030474.8</v>
      </c>
      <c r="D49" s="24" t="s">
        <v>288</v>
      </c>
      <c r="E49" s="24" t="s">
        <v>288</v>
      </c>
      <c r="F49" s="24" t="s">
        <v>288</v>
      </c>
      <c r="G49" s="24" t="s">
        <v>288</v>
      </c>
      <c r="H49" s="124"/>
      <c r="I49" s="124"/>
    </row>
    <row r="50" spans="1:9" ht="12.75" thickTop="1" thickBot="1" x14ac:dyDescent="0.25">
      <c r="A50" s="38" t="s">
        <v>884</v>
      </c>
      <c r="B50" s="48"/>
      <c r="C50" s="41">
        <f>SUM(C34:C49)</f>
        <v>1849625.8</v>
      </c>
      <c r="D50" s="41">
        <f>SUM(D34:D49)</f>
        <v>-89137.26999999999</v>
      </c>
      <c r="E50" s="41">
        <f>SUM(E34:E49)</f>
        <v>-46115.73</v>
      </c>
      <c r="F50" s="41">
        <f>SUM(F34:F49)</f>
        <v>0</v>
      </c>
      <c r="G50" s="41">
        <f>SUM(G34:G49)</f>
        <v>8802830.4499999993</v>
      </c>
      <c r="H50" s="124"/>
      <c r="I50" s="124"/>
    </row>
    <row r="51" spans="1:9" ht="12" thickTop="1" x14ac:dyDescent="0.2">
      <c r="A51" s="38" t="s">
        <v>885</v>
      </c>
      <c r="B51" s="2"/>
      <c r="C51" s="41">
        <f>C50+C31</f>
        <v>2699322.64</v>
      </c>
      <c r="D51" s="41">
        <f>D50+D31</f>
        <v>92437.810000000027</v>
      </c>
      <c r="E51" s="41">
        <f>E50+E31</f>
        <v>1954779.07</v>
      </c>
      <c r="F51" s="41">
        <f>F50+F31</f>
        <v>0</v>
      </c>
      <c r="G51" s="41">
        <f>G50+G31</f>
        <v>8802830.4499999993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15706271</v>
      </c>
      <c r="D56" s="95">
        <f>'DOE25'!G60</f>
        <v>0</v>
      </c>
      <c r="E56" s="95">
        <f>'DOE25'!H60</f>
        <v>0</v>
      </c>
      <c r="F56" s="95">
        <f>'DOE25'!I60</f>
        <v>0</v>
      </c>
      <c r="G56" s="95">
        <f>'DOE25'!J60</f>
        <v>0</v>
      </c>
      <c r="H56"/>
      <c r="I56"/>
    </row>
    <row r="57" spans="1:9" x14ac:dyDescent="0.2">
      <c r="A57" s="1" t="s">
        <v>164</v>
      </c>
      <c r="B57" s="6" t="s">
        <v>165</v>
      </c>
      <c r="C57" s="95">
        <f>'DOE25'!F79</f>
        <v>478442.18999999994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75350.290000000008</v>
      </c>
      <c r="D59" s="95">
        <f>'DOE25'!G96</f>
        <v>0</v>
      </c>
      <c r="E59" s="95">
        <f>'DOE25'!H96</f>
        <v>0</v>
      </c>
      <c r="F59" s="95">
        <f>'DOE25'!I96</f>
        <v>0</v>
      </c>
      <c r="G59" s="95">
        <f>'DOE25'!J96</f>
        <v>465102.17</v>
      </c>
      <c r="H59"/>
      <c r="I59"/>
    </row>
    <row r="60" spans="1:9" x14ac:dyDescent="0.2">
      <c r="A60" s="1" t="s">
        <v>170</v>
      </c>
      <c r="B60" s="118" t="s">
        <v>171</v>
      </c>
      <c r="C60" s="24" t="s">
        <v>288</v>
      </c>
      <c r="D60" s="95">
        <f>'DOE25'!G97</f>
        <v>8425.4500000000007</v>
      </c>
      <c r="E60" s="24" t="s">
        <v>288</v>
      </c>
      <c r="F60" s="24" t="s">
        <v>288</v>
      </c>
      <c r="G60" s="24" t="s">
        <v>288</v>
      </c>
      <c r="H60"/>
      <c r="I60"/>
    </row>
    <row r="61" spans="1:9" ht="12" thickBot="1" x14ac:dyDescent="0.25">
      <c r="A61" s="1" t="s">
        <v>172</v>
      </c>
      <c r="B61" s="118" t="s">
        <v>173</v>
      </c>
      <c r="C61" s="95">
        <f>SUM('DOE25'!F98:F110)</f>
        <v>307406.15000000002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861198.63</v>
      </c>
      <c r="D62" s="130">
        <f>SUM(D57:D61)</f>
        <v>8425.4500000000007</v>
      </c>
      <c r="E62" s="130">
        <f>SUM(E57:E61)</f>
        <v>0</v>
      </c>
      <c r="F62" s="130">
        <f>SUM(F57:F61)</f>
        <v>0</v>
      </c>
      <c r="G62" s="130">
        <f>SUM(G57:G61)</f>
        <v>465102.17</v>
      </c>
      <c r="H62"/>
      <c r="I62"/>
    </row>
    <row r="63" spans="1:9" ht="12" thickTop="1" x14ac:dyDescent="0.2">
      <c r="A63" s="29" t="s">
        <v>175</v>
      </c>
      <c r="B63" s="6"/>
      <c r="C63" s="22">
        <f>C56+C62</f>
        <v>16567469.630000001</v>
      </c>
      <c r="D63" s="22">
        <f>D56+D62</f>
        <v>8425.4500000000007</v>
      </c>
      <c r="E63" s="22">
        <f>E56+E62</f>
        <v>0</v>
      </c>
      <c r="F63" s="22">
        <f>F56+F62</f>
        <v>0</v>
      </c>
      <c r="G63" s="22">
        <f>G56+G62</f>
        <v>465102.17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15923257.84</v>
      </c>
      <c r="D66" s="24" t="s">
        <v>288</v>
      </c>
      <c r="E66" s="24" t="s">
        <v>288</v>
      </c>
      <c r="F66" s="24" t="s">
        <v>288</v>
      </c>
      <c r="G66" s="24" t="s">
        <v>288</v>
      </c>
      <c r="H66"/>
      <c r="I66"/>
    </row>
    <row r="67" spans="1:9" x14ac:dyDescent="0.2">
      <c r="A67" s="1" t="s">
        <v>770</v>
      </c>
      <c r="B67" s="6">
        <v>3112</v>
      </c>
      <c r="C67" s="95">
        <f>'DOE25'!F118</f>
        <v>1353502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17278755.050000001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649781.9</v>
      </c>
      <c r="D75" s="24" t="s">
        <v>288</v>
      </c>
      <c r="E75" s="24" t="s">
        <v>288</v>
      </c>
      <c r="F75" s="24" t="s">
        <v>288</v>
      </c>
      <c r="G75" s="24" t="s">
        <v>288</v>
      </c>
      <c r="H75"/>
      <c r="I75"/>
    </row>
    <row r="76" spans="1:9" x14ac:dyDescent="0.2">
      <c r="A76" s="1" t="s">
        <v>257</v>
      </c>
      <c r="B76" s="6" t="s">
        <v>179</v>
      </c>
      <c r="C76" s="95">
        <f>SUM('DOE25'!F127:F130)</f>
        <v>30786.82</v>
      </c>
      <c r="D76" s="24" t="s">
        <v>288</v>
      </c>
      <c r="E76" s="95">
        <f>SUM('DOE25'!H127:H130)</f>
        <v>0</v>
      </c>
      <c r="F76" s="95">
        <f>SUM('DOE25'!I127:I130)</f>
        <v>0</v>
      </c>
      <c r="G76" s="24" t="s">
        <v>288</v>
      </c>
      <c r="H76"/>
      <c r="I76"/>
    </row>
    <row r="77" spans="1:9" ht="12" thickBot="1" x14ac:dyDescent="0.25">
      <c r="A77" s="1" t="s">
        <v>258</v>
      </c>
      <c r="B77" s="6" t="s">
        <v>180</v>
      </c>
      <c r="C77" s="95">
        <f>SUM('DOE25'!F131:F135)</f>
        <v>12747.03</v>
      </c>
      <c r="D77" s="95">
        <f>SUM('DOE25'!G131:G135)</f>
        <v>12687.04</v>
      </c>
      <c r="E77" s="95">
        <f>SUM('DOE25'!H131:H135)</f>
        <v>0</v>
      </c>
      <c r="F77" s="95">
        <f>SUM('DOE25'!I131:I135)</f>
        <v>0</v>
      </c>
      <c r="G77" s="95">
        <f>SUM('DOE25'!J131:J135)</f>
        <v>0</v>
      </c>
      <c r="H77"/>
      <c r="I77"/>
    </row>
    <row r="78" spans="1:9" ht="12.75" thickTop="1" thickBot="1" x14ac:dyDescent="0.25">
      <c r="A78" s="29" t="s">
        <v>259</v>
      </c>
      <c r="B78" s="6"/>
      <c r="C78" s="130">
        <f>SUM(C72:C77)</f>
        <v>693315.75</v>
      </c>
      <c r="D78" s="130">
        <f>SUM(D72:D77)</f>
        <v>12687.04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17972070.800000001</v>
      </c>
      <c r="D81" s="130">
        <f>SUM(D79:D80)+D78+D70</f>
        <v>12687.04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568567.89</v>
      </c>
      <c r="D88" s="331">
        <f>SUM('DOE25'!G153:G162)</f>
        <v>680569.56</v>
      </c>
      <c r="E88" s="331">
        <f>SUM('DOE25'!H153:H162)</f>
        <v>3358970.28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568567.89</v>
      </c>
      <c r="D91" s="131">
        <f>SUM(D85:D90)</f>
        <v>680569.56</v>
      </c>
      <c r="E91" s="131">
        <f>SUM(E85:E90)</f>
        <v>3358970.28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1000000</v>
      </c>
    </row>
    <row r="104" spans="1:7" ht="12.75" thickTop="1" thickBot="1" x14ac:dyDescent="0.25">
      <c r="A104" s="33" t="s">
        <v>761</v>
      </c>
      <c r="C104" s="86">
        <f>C63+C81+C91+C103</f>
        <v>35108108.32</v>
      </c>
      <c r="D104" s="86">
        <f>D63+D81+D91+D103</f>
        <v>701682.05</v>
      </c>
      <c r="E104" s="86">
        <f>E63+E81+E91+E103</f>
        <v>3358970.28</v>
      </c>
      <c r="F104" s="86">
        <f>F63+F81+F91+F103</f>
        <v>0</v>
      </c>
      <c r="G104" s="86">
        <f>G63+G81+G103</f>
        <v>1465102.17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10897869.950000001</v>
      </c>
      <c r="D109" s="24" t="s">
        <v>288</v>
      </c>
      <c r="E109" s="95">
        <f>('DOE25'!L277)+('DOE25'!L296)+('DOE25'!L315)</f>
        <v>1051673.8400000001</v>
      </c>
      <c r="F109" s="24" t="s">
        <v>288</v>
      </c>
      <c r="G109" s="24" t="s">
        <v>288</v>
      </c>
    </row>
    <row r="110" spans="1:7" x14ac:dyDescent="0.2">
      <c r="A110" t="s">
        <v>198</v>
      </c>
      <c r="B110" s="32" t="s">
        <v>199</v>
      </c>
      <c r="C110" s="95">
        <f>('DOE25'!L199)+('DOE25'!L217)+('DOE25'!L235)</f>
        <v>8582577.8499999996</v>
      </c>
      <c r="D110" s="24" t="s">
        <v>288</v>
      </c>
      <c r="E110" s="95">
        <f>('DOE25'!L278)+('DOE25'!L297)+('DOE25'!L316)</f>
        <v>729189.29</v>
      </c>
      <c r="F110" s="24" t="s">
        <v>288</v>
      </c>
      <c r="G110" s="24" t="s">
        <v>288</v>
      </c>
    </row>
    <row r="111" spans="1:7" x14ac:dyDescent="0.2">
      <c r="A111" t="s">
        <v>200</v>
      </c>
      <c r="B111" s="32" t="s">
        <v>165</v>
      </c>
      <c r="C111" s="95">
        <f>('DOE25'!L200)+('DOE25'!L218)+('DOE25'!L236)</f>
        <v>801920.74</v>
      </c>
      <c r="D111" s="24" t="s">
        <v>288</v>
      </c>
      <c r="E111" s="95">
        <f>('DOE25'!L279)+('DOE25'!L298)+('DOE25'!L317)</f>
        <v>120500.00000000001</v>
      </c>
      <c r="F111" s="24" t="s">
        <v>288</v>
      </c>
      <c r="G111" s="24" t="s">
        <v>288</v>
      </c>
    </row>
    <row r="112" spans="1:7" x14ac:dyDescent="0.2">
      <c r="A112" t="s">
        <v>201</v>
      </c>
      <c r="B112" s="32" t="s">
        <v>167</v>
      </c>
      <c r="C112" s="95">
        <f>('DOE25'!L201)+('DOE25'!L219)+('DOE25'!L237)</f>
        <v>448817.94999999995</v>
      </c>
      <c r="D112" s="24" t="s">
        <v>288</v>
      </c>
      <c r="E112" s="95">
        <f>+('DOE25'!L280)+('DOE25'!L299)+('DOE25'!L318)</f>
        <v>57654.350000000006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20731186.489999998</v>
      </c>
      <c r="D115" s="86">
        <f>SUM(D109:D114)</f>
        <v>0</v>
      </c>
      <c r="E115" s="86">
        <f>SUM(E109:E114)</f>
        <v>1959017.4800000002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2022177.7200000002</v>
      </c>
      <c r="D118" s="24" t="s">
        <v>288</v>
      </c>
      <c r="E118" s="95">
        <f>+('DOE25'!L282)+('DOE25'!L301)+('DOE25'!L320)</f>
        <v>222609.28999999998</v>
      </c>
      <c r="F118" s="24" t="s">
        <v>288</v>
      </c>
      <c r="G118" s="24" t="s">
        <v>288</v>
      </c>
    </row>
    <row r="119" spans="1:7" x14ac:dyDescent="0.2">
      <c r="A119" t="s">
        <v>208</v>
      </c>
      <c r="B119" s="32" t="s">
        <v>209</v>
      </c>
      <c r="C119" s="95">
        <f>('DOE25'!L204)+('DOE25'!L222)+('DOE25'!L240)</f>
        <v>948731.83999999985</v>
      </c>
      <c r="D119" s="24" t="s">
        <v>288</v>
      </c>
      <c r="E119" s="95">
        <f>+('DOE25'!L283)+('DOE25'!L302)+('DOE25'!L321)</f>
        <v>422236.54000000004</v>
      </c>
      <c r="F119" s="24" t="s">
        <v>288</v>
      </c>
      <c r="G119" s="24" t="s">
        <v>288</v>
      </c>
    </row>
    <row r="120" spans="1:7" x14ac:dyDescent="0.2">
      <c r="A120" t="s">
        <v>210</v>
      </c>
      <c r="B120" s="32" t="s">
        <v>211</v>
      </c>
      <c r="C120" s="95">
        <f>('DOE25'!L205)+('DOE25'!L223)+('DOE25'!L241)</f>
        <v>1626483.1300000001</v>
      </c>
      <c r="D120" s="24" t="s">
        <v>288</v>
      </c>
      <c r="E120" s="95">
        <f>+('DOE25'!L284)+('DOE25'!L303)+('DOE25'!L322)</f>
        <v>0</v>
      </c>
      <c r="F120" s="24" t="s">
        <v>288</v>
      </c>
      <c r="G120" s="24" t="s">
        <v>288</v>
      </c>
    </row>
    <row r="121" spans="1:7" x14ac:dyDescent="0.2">
      <c r="A121" t="s">
        <v>212</v>
      </c>
      <c r="B121" s="32" t="s">
        <v>213</v>
      </c>
      <c r="C121" s="95">
        <f>('DOE25'!L206)+('DOE25'!L224)+('DOE25'!L242)</f>
        <v>2971192.14</v>
      </c>
      <c r="D121" s="24" t="s">
        <v>288</v>
      </c>
      <c r="E121" s="95">
        <f>+('DOE25'!L285)+('DOE25'!L304)+('DOE25'!L323)</f>
        <v>292515.5</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4162508.7300000004</v>
      </c>
      <c r="D123" s="24" t="s">
        <v>288</v>
      </c>
      <c r="E123" s="95">
        <f>+('DOE25'!L287)+('DOE25'!L306)+('DOE25'!L325)</f>
        <v>440302.04</v>
      </c>
      <c r="F123" s="24" t="s">
        <v>288</v>
      </c>
      <c r="G123" s="24" t="s">
        <v>288</v>
      </c>
    </row>
    <row r="124" spans="1:7" x14ac:dyDescent="0.2">
      <c r="A124" t="s">
        <v>218</v>
      </c>
      <c r="B124" s="32" t="s">
        <v>219</v>
      </c>
      <c r="C124" s="95">
        <f>('DOE25'!L209)+('DOE25'!L227)+('DOE25'!L245+'DOE25'!L255)</f>
        <v>1371868.69</v>
      </c>
      <c r="D124" s="24" t="s">
        <v>288</v>
      </c>
      <c r="E124" s="95">
        <f>+('DOE25'!L288)+('DOE25'!L307)+('DOE25'!L326)</f>
        <v>11604</v>
      </c>
      <c r="F124" s="24" t="s">
        <v>288</v>
      </c>
      <c r="G124" s="24" t="s">
        <v>288</v>
      </c>
    </row>
    <row r="125" spans="1:7" x14ac:dyDescent="0.2">
      <c r="A125" t="s">
        <v>220</v>
      </c>
      <c r="B125" s="32" t="s">
        <v>221</v>
      </c>
      <c r="C125" s="95">
        <f>('DOE25'!L210)+('DOE25'!L228)+('DOE25'!L246)</f>
        <v>2.5929960000000002E-3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645865.30000000005</v>
      </c>
      <c r="E127" s="24" t="s">
        <v>288</v>
      </c>
      <c r="F127" s="24" t="s">
        <v>288</v>
      </c>
      <c r="G127" s="24" t="s">
        <v>288</v>
      </c>
    </row>
    <row r="128" spans="1:7" ht="12.75" thickTop="1" thickBot="1" x14ac:dyDescent="0.25">
      <c r="A128" s="33" t="s">
        <v>226</v>
      </c>
      <c r="C128" s="86">
        <f>SUM(C118:C127)</f>
        <v>13102962.252592996</v>
      </c>
      <c r="D128" s="86">
        <f>SUM(D118:D127)</f>
        <v>645865.30000000005</v>
      </c>
      <c r="E128" s="86">
        <f>SUM(E118:E127)</f>
        <v>1389267.37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764676.62</v>
      </c>
      <c r="D131" s="24" t="s">
        <v>288</v>
      </c>
      <c r="E131" s="129">
        <f>'DOE25'!L342</f>
        <v>0</v>
      </c>
      <c r="F131" s="24" t="s">
        <v>288</v>
      </c>
      <c r="G131" s="24" t="s">
        <v>288</v>
      </c>
    </row>
    <row r="132" spans="1:7" x14ac:dyDescent="0.2">
      <c r="A132" t="s">
        <v>230</v>
      </c>
      <c r="B132" s="32">
        <v>5120</v>
      </c>
      <c r="C132" s="95">
        <f>'DOE25'!L262</f>
        <v>496267.74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1000015.0800000001</v>
      </c>
      <c r="D138" s="24" t="s">
        <v>288</v>
      </c>
      <c r="E138" s="24" t="s">
        <v>288</v>
      </c>
      <c r="F138" s="24" t="s">
        <v>288</v>
      </c>
      <c r="G138" s="24" t="s">
        <v>288</v>
      </c>
    </row>
    <row r="139" spans="1:7" x14ac:dyDescent="0.2">
      <c r="A139" t="s">
        <v>239</v>
      </c>
      <c r="B139" s="32">
        <v>5252</v>
      </c>
      <c r="C139" s="95">
        <f>'DOE25'!L402</f>
        <v>465087.09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-465102.17000000016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2260944.3599999994</v>
      </c>
      <c r="D144" s="141">
        <f>SUM(D130:D143)</f>
        <v>0</v>
      </c>
      <c r="E144" s="141">
        <f>SUM(E130:E143)</f>
        <v>0</v>
      </c>
      <c r="F144" s="141">
        <f>SUM(F130:F143)</f>
        <v>0</v>
      </c>
      <c r="G144" s="141">
        <f>SUM(G130:G143)</f>
        <v>0</v>
      </c>
    </row>
    <row r="145" spans="1:9" ht="12.75" thickTop="1" thickBot="1" x14ac:dyDescent="0.25">
      <c r="A145" s="33" t="s">
        <v>244</v>
      </c>
      <c r="C145" s="86">
        <f>(C115+C128+C144)</f>
        <v>36095093.10259299</v>
      </c>
      <c r="D145" s="86">
        <f>(D115+D128+D144)</f>
        <v>645865.30000000005</v>
      </c>
      <c r="E145" s="86">
        <f>(E115+E128+E144)</f>
        <v>3348284.8500000006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8/13</v>
      </c>
      <c r="C152" s="152">
        <f>'DOE25'!G492</f>
        <v>0</v>
      </c>
      <c r="D152" s="152">
        <f>'DOE25'!H492</f>
        <v>0</v>
      </c>
      <c r="E152" s="152">
        <f>'DOE25'!I492</f>
        <v>0</v>
      </c>
      <c r="F152" s="152">
        <f>'DOE25'!J492</f>
        <v>0</v>
      </c>
      <c r="G152" s="24" t="s">
        <v>288</v>
      </c>
    </row>
    <row r="153" spans="1:9" x14ac:dyDescent="0.2">
      <c r="A153" s="136" t="s">
        <v>29</v>
      </c>
      <c r="B153" s="152" t="str">
        <f>'DOE25'!F493</f>
        <v>8/33</v>
      </c>
      <c r="C153" s="152">
        <f>'DOE25'!G493</f>
        <v>0</v>
      </c>
      <c r="D153" s="152">
        <f>'DOE25'!H493</f>
        <v>0</v>
      </c>
      <c r="E153" s="152">
        <f>'DOE25'!I493</f>
        <v>0</v>
      </c>
      <c r="F153" s="152">
        <f>'DOE25'!J493</f>
        <v>0</v>
      </c>
      <c r="G153" s="24" t="s">
        <v>288</v>
      </c>
    </row>
    <row r="154" spans="1:9" x14ac:dyDescent="0.2">
      <c r="A154" s="136" t="s">
        <v>30</v>
      </c>
      <c r="B154" s="137">
        <f>'DOE25'!F494</f>
        <v>11195000</v>
      </c>
      <c r="C154" s="137">
        <f>'DOE25'!G494</f>
        <v>0</v>
      </c>
      <c r="D154" s="137">
        <f>'DOE25'!H494</f>
        <v>0</v>
      </c>
      <c r="E154" s="137">
        <f>'DOE25'!I494</f>
        <v>0</v>
      </c>
      <c r="F154" s="137">
        <f>'DOE25'!J494</f>
        <v>0</v>
      </c>
      <c r="G154" s="24" t="s">
        <v>288</v>
      </c>
    </row>
    <row r="155" spans="1:9" x14ac:dyDescent="0.2">
      <c r="A155" s="136" t="s">
        <v>31</v>
      </c>
      <c r="B155" s="137">
        <f>'DOE25'!F495</f>
        <v>3.58</v>
      </c>
      <c r="C155" s="137">
        <f>'DOE25'!G495</f>
        <v>0</v>
      </c>
      <c r="D155" s="137">
        <f>'DOE25'!H495</f>
        <v>0</v>
      </c>
      <c r="E155" s="137">
        <f>'DOE25'!I495</f>
        <v>0</v>
      </c>
      <c r="F155" s="137">
        <f>'DOE25'!J495</f>
        <v>0</v>
      </c>
      <c r="G155" s="24" t="s">
        <v>288</v>
      </c>
    </row>
    <row r="156" spans="1:9" x14ac:dyDescent="0.2">
      <c r="A156" s="22" t="s">
        <v>32</v>
      </c>
      <c r="B156" s="137">
        <f>'DOE25'!F496</f>
        <v>7830000</v>
      </c>
      <c r="C156" s="137">
        <f>'DOE25'!G496</f>
        <v>0</v>
      </c>
      <c r="D156" s="137">
        <f>'DOE25'!H496</f>
        <v>0</v>
      </c>
      <c r="E156" s="137">
        <f>'DOE25'!I496</f>
        <v>0</v>
      </c>
      <c r="F156" s="137">
        <f>'DOE25'!J496</f>
        <v>0</v>
      </c>
      <c r="G156" s="138">
        <f>SUM(B156:F156)</f>
        <v>7830000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560000</v>
      </c>
      <c r="C158" s="137">
        <f>'DOE25'!G498</f>
        <v>0</v>
      </c>
      <c r="D158" s="137">
        <f>'DOE25'!H498</f>
        <v>0</v>
      </c>
      <c r="E158" s="137">
        <f>'DOE25'!I498</f>
        <v>0</v>
      </c>
      <c r="F158" s="137">
        <f>'DOE25'!J498</f>
        <v>0</v>
      </c>
      <c r="G158" s="138">
        <f t="shared" si="0"/>
        <v>560000</v>
      </c>
    </row>
    <row r="159" spans="1:9" x14ac:dyDescent="0.2">
      <c r="A159" s="22" t="s">
        <v>35</v>
      </c>
      <c r="B159" s="137">
        <f>'DOE25'!F499</f>
        <v>7270000</v>
      </c>
      <c r="C159" s="137">
        <f>'DOE25'!G499</f>
        <v>0</v>
      </c>
      <c r="D159" s="137">
        <f>'DOE25'!H499</f>
        <v>0</v>
      </c>
      <c r="E159" s="137">
        <f>'DOE25'!I499</f>
        <v>0</v>
      </c>
      <c r="F159" s="137">
        <f>'DOE25'!J499</f>
        <v>0</v>
      </c>
      <c r="G159" s="138">
        <f t="shared" si="0"/>
        <v>7270000</v>
      </c>
    </row>
    <row r="160" spans="1:9" x14ac:dyDescent="0.2">
      <c r="A160" s="22" t="s">
        <v>36</v>
      </c>
      <c r="B160" s="137">
        <f>'DOE25'!F500</f>
        <v>2368399</v>
      </c>
      <c r="C160" s="137">
        <f>'DOE25'!G500</f>
        <v>0</v>
      </c>
      <c r="D160" s="137">
        <f>'DOE25'!H500</f>
        <v>0</v>
      </c>
      <c r="E160" s="137">
        <f>'DOE25'!I500</f>
        <v>0</v>
      </c>
      <c r="F160" s="137">
        <f>'DOE25'!J500</f>
        <v>0</v>
      </c>
      <c r="G160" s="138">
        <f t="shared" si="0"/>
        <v>2368399</v>
      </c>
    </row>
    <row r="161" spans="1:7" x14ac:dyDescent="0.2">
      <c r="A161" s="22" t="s">
        <v>37</v>
      </c>
      <c r="B161" s="137">
        <f>'DOE25'!F501</f>
        <v>9638399</v>
      </c>
      <c r="C161" s="137">
        <f>'DOE25'!G501</f>
        <v>0</v>
      </c>
      <c r="D161" s="137">
        <f>'DOE25'!H501</f>
        <v>0</v>
      </c>
      <c r="E161" s="137">
        <f>'DOE25'!I501</f>
        <v>0</v>
      </c>
      <c r="F161" s="137">
        <f>'DOE25'!J501</f>
        <v>0</v>
      </c>
      <c r="G161" s="138">
        <f t="shared" si="0"/>
        <v>9638399</v>
      </c>
    </row>
    <row r="162" spans="1:7" x14ac:dyDescent="0.2">
      <c r="A162" s="22" t="s">
        <v>38</v>
      </c>
      <c r="B162" s="137">
        <f>'DOE25'!F502</f>
        <v>560000</v>
      </c>
      <c r="C162" s="137">
        <f>'DOE25'!G502</f>
        <v>0</v>
      </c>
      <c r="D162" s="137">
        <f>'DOE25'!H502</f>
        <v>0</v>
      </c>
      <c r="E162" s="137">
        <f>'DOE25'!I502</f>
        <v>0</v>
      </c>
      <c r="F162" s="137">
        <f>'DOE25'!J502</f>
        <v>0</v>
      </c>
      <c r="G162" s="138">
        <f t="shared" si="0"/>
        <v>560000</v>
      </c>
    </row>
    <row r="163" spans="1:7" x14ac:dyDescent="0.2">
      <c r="A163" s="22" t="s">
        <v>39</v>
      </c>
      <c r="B163" s="137">
        <f>'DOE25'!F503</f>
        <v>348790</v>
      </c>
      <c r="C163" s="137">
        <f>'DOE25'!G503</f>
        <v>0</v>
      </c>
      <c r="D163" s="137">
        <f>'DOE25'!H503</f>
        <v>0</v>
      </c>
      <c r="E163" s="137">
        <f>'DOE25'!I503</f>
        <v>0</v>
      </c>
      <c r="F163" s="137">
        <f>'DOE25'!J503</f>
        <v>0</v>
      </c>
      <c r="G163" s="138">
        <f t="shared" si="0"/>
        <v>348790</v>
      </c>
    </row>
    <row r="164" spans="1:7" x14ac:dyDescent="0.2">
      <c r="A164" s="22" t="s">
        <v>246</v>
      </c>
      <c r="B164" s="137">
        <f>'DOE25'!F504</f>
        <v>908790</v>
      </c>
      <c r="C164" s="137">
        <f>'DOE25'!G504</f>
        <v>0</v>
      </c>
      <c r="D164" s="137">
        <f>'DOE25'!H504</f>
        <v>0</v>
      </c>
      <c r="E164" s="137">
        <f>'DOE25'!I504</f>
        <v>0</v>
      </c>
      <c r="F164" s="137">
        <f>'DOE25'!J504</f>
        <v>0</v>
      </c>
      <c r="G164" s="138">
        <f t="shared" si="0"/>
        <v>908790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Claremont School District</v>
      </c>
    </row>
    <row r="3" spans="1:4" x14ac:dyDescent="0.2">
      <c r="B3" s="188" t="s">
        <v>1666</v>
      </c>
    </row>
    <row r="4" spans="1:4" x14ac:dyDescent="0.2">
      <c r="B4" t="s">
        <v>61</v>
      </c>
      <c r="C4" s="179">
        <f>IF('DOE25'!F666+'DOE25'!F671=0,0,ROUND('DOE25'!F673,0))</f>
        <v>21999</v>
      </c>
    </row>
    <row r="5" spans="1:4" x14ac:dyDescent="0.2">
      <c r="B5" t="s">
        <v>700</v>
      </c>
      <c r="C5" s="179">
        <f>IF('DOE25'!G666+'DOE25'!G671=0,0,ROUND('DOE25'!G673,0))</f>
        <v>18367</v>
      </c>
    </row>
    <row r="6" spans="1:4" x14ac:dyDescent="0.2">
      <c r="B6" t="s">
        <v>62</v>
      </c>
      <c r="C6" s="179">
        <f>IF('DOE25'!H666+'DOE25'!H671=0,0,ROUND('DOE25'!H673,0))</f>
        <v>20214</v>
      </c>
    </row>
    <row r="7" spans="1:4" x14ac:dyDescent="0.2">
      <c r="B7" t="s">
        <v>701</v>
      </c>
      <c r="C7" s="179">
        <f>IF('DOE25'!I666+'DOE25'!I671=0,0,ROUND('DOE25'!I673,0))</f>
        <v>20542</v>
      </c>
    </row>
    <row r="9" spans="1:4" x14ac:dyDescent="0.2">
      <c r="A9" s="187" t="s">
        <v>94</v>
      </c>
      <c r="B9" s="188" t="s">
        <v>1671</v>
      </c>
      <c r="C9" s="181" t="s">
        <v>720</v>
      </c>
      <c r="D9" s="181" t="s">
        <v>721</v>
      </c>
    </row>
    <row r="10" spans="1:4" x14ac:dyDescent="0.2">
      <c r="A10">
        <v>1100</v>
      </c>
      <c r="B10" t="s">
        <v>702</v>
      </c>
      <c r="C10" s="179">
        <f>ROUND('DOE25'!L198+'DOE25'!L216+'DOE25'!L234+'DOE25'!L277+'DOE25'!L296+'DOE25'!L315,0)</f>
        <v>11949544</v>
      </c>
      <c r="D10" s="182">
        <f>ROUND((C10/$C$28)*100,1)</f>
        <v>31.2</v>
      </c>
    </row>
    <row r="11" spans="1:4" x14ac:dyDescent="0.2">
      <c r="A11">
        <v>1200</v>
      </c>
      <c r="B11" t="s">
        <v>703</v>
      </c>
      <c r="C11" s="179">
        <f>ROUND('DOE25'!L199+'DOE25'!L217+'DOE25'!L235+'DOE25'!L278+'DOE25'!L297+'DOE25'!L316,0)</f>
        <v>9311767</v>
      </c>
      <c r="D11" s="182">
        <f>ROUND((C11/$C$28)*100,1)</f>
        <v>24.3</v>
      </c>
    </row>
    <row r="12" spans="1:4" x14ac:dyDescent="0.2">
      <c r="A12">
        <v>1300</v>
      </c>
      <c r="B12" t="s">
        <v>704</v>
      </c>
      <c r="C12" s="179">
        <f>ROUND('DOE25'!L200+'DOE25'!L218+'DOE25'!L236+'DOE25'!L279+'DOE25'!L298+'DOE25'!L317,0)</f>
        <v>922421</v>
      </c>
      <c r="D12" s="182">
        <f>ROUND((C12/$C$28)*100,1)</f>
        <v>2.4</v>
      </c>
    </row>
    <row r="13" spans="1:4" x14ac:dyDescent="0.2">
      <c r="A13">
        <v>1400</v>
      </c>
      <c r="B13" t="s">
        <v>705</v>
      </c>
      <c r="C13" s="179">
        <f>ROUND('DOE25'!L201+'DOE25'!L219+'DOE25'!L237+'DOE25'!L280+'DOE25'!L299+'DOE25'!L318,0)</f>
        <v>506472</v>
      </c>
      <c r="D13" s="182">
        <f>ROUND((C13/$C$28)*100,1)</f>
        <v>1.3</v>
      </c>
    </row>
    <row r="14" spans="1:4" x14ac:dyDescent="0.2">
      <c r="D14" s="182"/>
    </row>
    <row r="15" spans="1:4" x14ac:dyDescent="0.2">
      <c r="A15">
        <v>2100</v>
      </c>
      <c r="B15" t="s">
        <v>706</v>
      </c>
      <c r="C15" s="179">
        <f>ROUND('DOE25'!L203+'DOE25'!L221+'DOE25'!L239+'DOE25'!L282+'DOE25'!L301+'DOE25'!L320,0)</f>
        <v>2244787</v>
      </c>
      <c r="D15" s="182">
        <f t="shared" ref="D15:D27" si="0">ROUND((C15/$C$28)*100,1)</f>
        <v>5.9</v>
      </c>
    </row>
    <row r="16" spans="1:4" x14ac:dyDescent="0.2">
      <c r="A16">
        <v>2200</v>
      </c>
      <c r="B16" t="s">
        <v>707</v>
      </c>
      <c r="C16" s="179">
        <f>ROUND('DOE25'!L204+'DOE25'!L222+'DOE25'!L240+'DOE25'!L283+'DOE25'!L302+'DOE25'!L321,0)</f>
        <v>1370968</v>
      </c>
      <c r="D16" s="182">
        <f t="shared" si="0"/>
        <v>3.6</v>
      </c>
    </row>
    <row r="17" spans="1:4" x14ac:dyDescent="0.2">
      <c r="A17" s="183" t="s">
        <v>723</v>
      </c>
      <c r="B17" t="s">
        <v>738</v>
      </c>
      <c r="C17" s="179">
        <f>ROUND('DOE25'!L205+'DOE25'!L210+'DOE25'!L223+'DOE25'!L228+'DOE25'!L241+'DOE25'!L246+'DOE25'!L284+'DOE25'!L289+'DOE25'!L303+'DOE25'!L308+'DOE25'!L322+'DOE25'!L327,0)</f>
        <v>1626483</v>
      </c>
      <c r="D17" s="182">
        <f t="shared" si="0"/>
        <v>4.2</v>
      </c>
    </row>
    <row r="18" spans="1:4" x14ac:dyDescent="0.2">
      <c r="A18">
        <v>2400</v>
      </c>
      <c r="B18" t="s">
        <v>711</v>
      </c>
      <c r="C18" s="179">
        <f>ROUND('DOE25'!L206+'DOE25'!L224+'DOE25'!L242+'DOE25'!L285+'DOE25'!L304+'DOE25'!L323,0)</f>
        <v>3263708</v>
      </c>
      <c r="D18" s="182">
        <f t="shared" si="0"/>
        <v>8.5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4602811</v>
      </c>
      <c r="D20" s="182">
        <f t="shared" si="0"/>
        <v>12</v>
      </c>
    </row>
    <row r="21" spans="1:4" x14ac:dyDescent="0.2">
      <c r="A21">
        <v>2700</v>
      </c>
      <c r="B21" t="s">
        <v>710</v>
      </c>
      <c r="C21" s="179">
        <f>ROUND('DOE25'!L209+'DOE25'!L227+'DOE25'!L245+'DOE25'!L288+'DOE25'!L307+'DOE25'!L326,0)</f>
        <v>1383473</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496268</v>
      </c>
      <c r="D25" s="182">
        <f t="shared" si="0"/>
        <v>1.3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637439.55000000005</v>
      </c>
      <c r="D27" s="182">
        <f t="shared" si="0"/>
        <v>1.7</v>
      </c>
    </row>
    <row r="28" spans="1:4" x14ac:dyDescent="0.2">
      <c r="B28" s="187" t="s">
        <v>719</v>
      </c>
      <c r="C28" s="180">
        <f>SUM(C10:C27)</f>
        <v>38316141.549999997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38316141.549999997</v>
      </c>
    </row>
    <row r="31" spans="1:4" x14ac:dyDescent="0.2">
      <c r="B31" s="33"/>
      <c r="C31" s="180"/>
    </row>
    <row r="32" spans="1:4" x14ac:dyDescent="0.2">
      <c r="A32">
        <v>5100</v>
      </c>
      <c r="B32" s="33" t="s">
        <v>726</v>
      </c>
      <c r="C32" s="180">
        <f>ROUND('DOE25'!L261+'DOE25'!L342,0)</f>
        <v>764677</v>
      </c>
    </row>
    <row r="34" spans="1:4" x14ac:dyDescent="0.2">
      <c r="A34" s="187" t="s">
        <v>94</v>
      </c>
      <c r="B34" s="188" t="s">
        <v>1667</v>
      </c>
      <c r="C34" s="181" t="s">
        <v>720</v>
      </c>
      <c r="D34" s="181" t="s">
        <v>721</v>
      </c>
    </row>
    <row r="35" spans="1:4" x14ac:dyDescent="0.2">
      <c r="A35">
        <v>1100</v>
      </c>
      <c r="B35" s="185" t="s">
        <v>727</v>
      </c>
      <c r="C35" s="179">
        <f>ROUND('DOE25'!F60+'DOE25'!G60+'DOE25'!H60+'DOE25'!I60+'DOE25'!J60,0)</f>
        <v>15706271</v>
      </c>
      <c r="D35" s="182">
        <f t="shared" ref="D35:D40" si="1">ROUND((C35/$C$41)*100,1)</f>
        <v>39.6</v>
      </c>
    </row>
    <row r="36" spans="1:4" x14ac:dyDescent="0.2">
      <c r="B36" s="185" t="s">
        <v>739</v>
      </c>
      <c r="C36" s="179">
        <f>SUM('DOE25'!F112:J112)-SUM('DOE25'!G97:G110)+('DOE25'!F175+'DOE25'!F176+'DOE25'!I175+'DOE25'!I176)-C35</f>
        <v>1326300.8000000007</v>
      </c>
      <c r="D36" s="182">
        <f t="shared" si="1"/>
        <v>3.3</v>
      </c>
    </row>
    <row r="37" spans="1:4" x14ac:dyDescent="0.2">
      <c r="A37" s="183" t="s">
        <v>835</v>
      </c>
      <c r="B37" s="185" t="s">
        <v>728</v>
      </c>
      <c r="C37" s="179">
        <f>ROUND('DOE25'!F117+'DOE25'!F118,0)</f>
        <v>17276760</v>
      </c>
      <c r="D37" s="182">
        <f t="shared" si="1"/>
        <v>43.6</v>
      </c>
    </row>
    <row r="38" spans="1:4" x14ac:dyDescent="0.2">
      <c r="A38" s="183" t="s">
        <v>734</v>
      </c>
      <c r="B38" s="185" t="s">
        <v>729</v>
      </c>
      <c r="C38" s="179">
        <f>ROUND(SUM('DOE25'!F140:J140)-SUM('DOE25'!F117:F119),0)</f>
        <v>707998</v>
      </c>
      <c r="D38" s="182">
        <f t="shared" si="1"/>
        <v>1.8</v>
      </c>
    </row>
    <row r="39" spans="1:4" x14ac:dyDescent="0.2">
      <c r="A39">
        <v>4000</v>
      </c>
      <c r="B39" s="185" t="s">
        <v>730</v>
      </c>
      <c r="C39" s="179">
        <f>ROUND('DOE25'!F170+'DOE25'!G170+'DOE25'!H170+'DOE25'!I170,0)</f>
        <v>4608108</v>
      </c>
      <c r="D39" s="182">
        <f t="shared" si="1"/>
        <v>11.6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39625437.799999997</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P32" sqref="P32:Z3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Claremont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2021-12-16T16:31:51Z</dcterms:modified>
</cp:coreProperties>
</file>