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9" i="1" l="1"/>
  <c r="J473" i="1"/>
  <c r="G460" i="1"/>
  <c r="G440" i="1"/>
  <c r="K425" i="1"/>
  <c r="F182" i="1"/>
  <c r="F50" i="1"/>
  <c r="H203" i="1"/>
  <c r="F473" i="1"/>
  <c r="H527" i="1"/>
  <c r="H241" i="1"/>
  <c r="G241" i="1"/>
  <c r="H205" i="1"/>
  <c r="G205"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G477" i="1"/>
  <c r="H477" i="1" l="1"/>
  <c r="H625" i="1" s="1"/>
  <c r="J625" i="1" s="1"/>
  <c r="J652" i="1"/>
  <c r="H663" i="1"/>
  <c r="C110" i="2"/>
  <c r="C120" i="2"/>
  <c r="H409" i="1"/>
  <c r="H645" i="1" s="1"/>
  <c r="E110" i="2"/>
  <c r="J572" i="1"/>
  <c r="G409" i="1"/>
  <c r="H646" i="1" s="1"/>
  <c r="J646" i="1" s="1"/>
  <c r="G553" i="1"/>
  <c r="J258" i="1"/>
  <c r="A40" i="12"/>
  <c r="E119" i="2"/>
  <c r="D6" i="13"/>
  <c r="C6" i="13" s="1"/>
  <c r="E13" i="13"/>
  <c r="C13" i="13" s="1"/>
  <c r="K353" i="1"/>
  <c r="G339" i="1"/>
  <c r="G353" i="1" s="1"/>
  <c r="E123" i="2"/>
  <c r="E131" i="2"/>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F661" i="1" l="1"/>
  <c r="F194" i="1"/>
  <c r="G628" i="1" s="1"/>
  <c r="J628" i="1" s="1"/>
  <c r="H661" i="1"/>
  <c r="H665" i="1" s="1"/>
  <c r="H668" i="1" s="1"/>
  <c r="H194" i="1"/>
  <c r="G630" i="1" s="1"/>
  <c r="J630"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<sst xmlns="http://schemas.openxmlformats.org/spreadsheetml/2006/main" count="5572" uniqueCount="1673">
  <si>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</si>
  <si>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</si>
  <si>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</si>
  <si>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</si>
  <si>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</si>
  <si>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</si>
  <si>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</si>
  <si>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</si>
  <si>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</si>
  <si>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</si>
  <si>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</si>
  <si>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</si>
  <si>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</si>
  <si>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</si>
  <si>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</si>
  <si>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</si>
  <si>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</si>
  <si>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</si>
  <si>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</si>
  <si>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</si>
  <si>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</si>
  <si>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</si>
  <si>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</si>
  <si>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</si>
  <si>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</si>
  <si>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</si>
  <si>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</si>
  <si>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</si>
  <si>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</si>
  <si>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</si>
  <si>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</si>
  <si>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</si>
  <si>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</si>
  <si>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</si>
  <si>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</si>
  <si>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</si>
  <si>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</si>
  <si>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</si>
  <si>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</si>
  <si>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</si>
  <si>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</si>
  <si>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</si>
  <si>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</si>
  <si>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</si>
  <si>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</si>
  <si>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</si>
  <si>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</si>
  <si>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</si>
  <si>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</si>
  <si>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</si>
  <si>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</si>
  <si>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</si>
  <si>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</si>
  <si>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</si>
  <si>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</si>
  <si>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</si>
  <si>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</si>
  <si>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</si>
  <si>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</si>
  <si>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</si>
  <si>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</si>
  <si>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</si>
  <si>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</si>
  <si>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</si>
  <si>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</si>
  <si>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</si>
  <si>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</si>
  <si>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</si>
  <si>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</si>
  <si>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</si>
  <si>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</si>
  <si>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</si>
  <si>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</si>
  <si>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</si>
  <si>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</si>
  <si>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</si>
  <si>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</si>
  <si>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</si>
  <si>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</si>
  <si>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</si>
  <si>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</si>
  <si>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</si>
  <si>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</si>
  <si>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</si>
  <si>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</si>
  <si>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</si>
  <si>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</si>
  <si>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</si>
  <si>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</si>
  <si>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</si>
  <si>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</si>
  <si>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</si>
  <si>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</si>
  <si>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</si>
  <si>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</si>
  <si>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</si>
  <si>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</si>
  <si>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</si>
  <si>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</si>
  <si>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</si>
  <si>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</si>
  <si>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</si>
  <si>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</si>
  <si>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</si>
  <si>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</si>
  <si>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</si>
  <si>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</si>
  <si>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</si>
  <si>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</si>
  <si>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</si>
  <si>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</si>
  <si>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</si>
  <si>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</si>
  <si>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</si>
  <si>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</si>
  <si>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</si>
  <si>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</si>
  <si>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</si>
  <si>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</si>
  <si>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</si>
  <si>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</si>
  <si>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</si>
  <si>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</si>
  <si>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</si>
  <si>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</si>
  <si>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</si>
  <si>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</si>
  <si>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</si>
  <si>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</si>
  <si>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</si>
  <si>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</si>
  <si>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</si>
  <si>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</si>
  <si>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</si>
  <si>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</si>
  <si>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</si>
  <si>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</si>
  <si>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</si>
  <si>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</si>
  <si>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</si>
  <si>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</si>
  <si>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</si>
  <si>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</si>
  <si>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</si>
  <si>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</si>
  <si>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</si>
  <si>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</si>
  <si>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</si>
  <si>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</si>
  <si>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</si>
  <si>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</si>
  <si>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</si>
  <si>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</si>
  <si>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</si>
  <si>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</si>
  <si>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</si>
  <si>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</si>
  <si>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</si>
  <si>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</si>
  <si>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</si>
  <si>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</si>
  <si>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</si>
  <si>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</si>
  <si>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</si>
  <si>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</si>
  <si>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</si>
  <si>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</si>
  <si>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</si>
  <si>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</si>
  <si>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</si>
  <si>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</si>
  <si>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</si>
  <si>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</si>
  <si>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</si>
  <si>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</si>
  <si>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</si>
  <si>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</si>
  <si>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</si>
  <si>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</si>
  <si>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</si>
  <si>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</si>
  <si>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</si>
  <si>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</si>
  <si>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</si>
  <si>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</si>
  <si>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</si>
  <si>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</si>
  <si>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</si>
  <si>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</si>
  <si>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</si>
  <si>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</si>
  <si>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</si>
  <si>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</si>
  <si>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</si>
  <si>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</si>
  <si>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</si>
  <si>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</si>
  <si>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</si>
  <si>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</si>
  <si>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</si>
  <si>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</si>
  <si>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</si>
  <si>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</si>
  <si>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</si>
  <si>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</si>
  <si>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</si>
  <si>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</si>
  <si>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</si>
  <si>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</si>
  <si>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</si>
  <si>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</si>
  <si>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</si>
  <si>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</si>
  <si>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</si>
  <si>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</si>
  <si>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</si>
  <si>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</si>
  <si>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</si>
  <si>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</si>
  <si>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</si>
  <si>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</si>
  <si>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</si>
  <si>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</si>
  <si>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</si>
  <si>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</si>
  <si>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</si>
  <si>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</si>
  <si>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</si>
  <si>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</si>
  <si>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</si>
  <si>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</si>
  <si>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</si>
  <si>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</si>
  <si>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</si>
  <si>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</si>
  <si>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</si>
  <si>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</si>
  <si>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</si>
  <si>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</si>
  <si>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</si>
  <si>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</si>
  <si>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</si>
  <si>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</si>
  <si>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</si>
  <si>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</si>
  <si>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</si>
  <si>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</si>
  <si>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</si>
  <si>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</si>
  <si>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</si>
  <si>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</si>
  <si>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</si>
  <si>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</si>
  <si>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</si>
  <si>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</si>
  <si>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</si>
  <si>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</si>
  <si>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</si>
  <si>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</si>
  <si>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</si>
  <si>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</si>
  <si>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</si>
  <si>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</si>
  <si>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</si>
  <si>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</si>
  <si>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</si>
  <si>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</si>
  <si>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</si>
  <si>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</si>
  <si>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</si>
  <si>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</si>
  <si>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</si>
  <si>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</si>
  <si>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</si>
  <si>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</si>
  <si>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</si>
  <si>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</si>
  <si>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</si>
  <si>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</si>
  <si>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</si>
  <si>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</si>
  <si>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</si>
  <si>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</si>
  <si>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</si>
  <si>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</si>
  <si>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</si>
  <si>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</si>
  <si>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</si>
  <si>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</si>
  <si>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</si>
  <si>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</si>
  <si>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</si>
  <si>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</si>
  <si>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</si>
  <si>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</si>
  <si>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</si>
  <si>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</si>
  <si>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</si>
  <si>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</si>
  <si>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</si>
  <si>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</si>
  <si>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</si>
  <si>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</si>
  <si>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</si>
  <si>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</si>
  <si>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</si>
  <si>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</si>
  <si>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</si>
  <si>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</si>
  <si>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</si>
  <si>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</si>
  <si>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</si>
  <si>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</si>
  <si>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</si>
  <si>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</si>
  <si>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</si>
  <si>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</si>
  <si>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</si>
  <si>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</si>
  <si>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</si>
  <si>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</si>
  <si>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</si>
  <si>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</si>
  <si>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</si>
  <si>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</si>
  <si>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</si>
  <si>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</si>
  <si>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</si>
  <si>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</si>
  <si>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</si>
  <si>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</si>
  <si>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</si>
  <si>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</si>
  <si>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</si>
  <si>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</si>
  <si>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</si>
  <si>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</si>
  <si>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</si>
  <si>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</si>
  <si>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</si>
  <si>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</si>
  <si>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</si>
  <si>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</si>
  <si>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</si>
  <si>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</si>
  <si>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</si>
  <si>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</si>
  <si>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</si>
  <si>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</si>
  <si>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</si>
  <si>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</si>
  <si>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</si>
  <si>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</si>
  <si>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</si>
  <si>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</si>
  <si>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</si>
  <si>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</si>
  <si>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</si>
  <si>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</si>
  <si>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</si>
  <si>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</si>
  <si>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</si>
  <si>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</si>
  <si>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</si>
  <si>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</si>
  <si>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</si>
  <si>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</si>
  <si>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</si>
  <si>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</si>
  <si>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</si>
  <si>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</si>
  <si>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</si>
  <si>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</si>
  <si>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</si>
  <si>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</si>
  <si>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</si>
  <si>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</si>
  <si>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</si>
  <si>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</si>
  <si>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</si>
  <si>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</si>
  <si>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</si>
  <si>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</si>
  <si>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</si>
  <si>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</si>
  <si>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</si>
  <si>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</si>
  <si>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</si>
  <si>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</si>
  <si>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</si>
  <si>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</si>
  <si>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</si>
  <si>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</si>
  <si>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</si>
  <si>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</si>
  <si>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</si>
  <si>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</si>
  <si>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</si>
  <si>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</si>
  <si>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</si>
  <si>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</si>
  <si>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</si>
  <si>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</si>
  <si>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</si>
  <si>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</si>
  <si>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</si>
  <si>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</si>
  <si>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</si>
  <si>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</si>
  <si>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</si>
  <si>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</si>
  <si>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</si>
  <si>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</si>
  <si>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</si>
  <si>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</si>
  <si>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</si>
  <si>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</si>
  <si>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</si>
  <si>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</si>
  <si>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</si>
  <si>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</si>
  <si>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</si>
  <si>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</si>
  <si>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</si>
  <si>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</si>
  <si>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</si>
  <si>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</si>
  <si>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</si>
  <si>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</si>
  <si>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</si>
  <si>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</si>
  <si>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</si>
  <si>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</si>
  <si>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</si>
  <si>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</si>
  <si>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</si>
  <si>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</si>
  <si>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</si>
  <si>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</si>
  <si>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</si>
  <si>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</si>
  <si>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</si>
  <si>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</si>
  <si>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</si>
  <si>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</si>
  <si>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</si>
  <si>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</si>
  <si>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</si>
  <si>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</si>
  <si>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</si>
  <si>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</si>
  <si>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</si>
  <si>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</si>
  <si>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</si>
  <si>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</si>
  <si>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</si>
  <si>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</si>
  <si>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</si>
  <si>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</si>
  <si>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</si>
  <si>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</si>
  <si>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</si>
  <si>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</si>
  <si>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</si>
  <si>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</si>
  <si>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</si>
  <si>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</si>
  <si>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</si>
  <si>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</si>
  <si>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</si>
  <si>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</si>
  <si>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</si>
  <si>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</si>
  <si>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</si>
  <si>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</si>
  <si>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</si>
  <si>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</si>
  <si>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</si>
  <si>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</si>
  <si>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</si>
  <si>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</si>
  <si>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</si>
  <si>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</si>
  <si>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</si>
  <si>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</si>
  <si>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</si>
  <si>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</si>
  <si>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</si>
  <si>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</si>
  <si>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</si>
  <si>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</si>
  <si>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</si>
  <si>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</si>
  <si>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</si>
  <si>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</si>
  <si>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</si>
  <si>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</si>
  <si>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</si>
  <si>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</si>
  <si>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</si>
  <si>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</si>
  <si>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</si>
  <si>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</si>
  <si>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</si>
  <si>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</si>
  <si>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</si>
  <si>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</si>
  <si>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</si>
  <si>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</si>
  <si>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</si>
  <si>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</si>
  <si>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</si>
  <si>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</si>
  <si>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</si>
  <si>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</si>
  <si>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</si>
  <si>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</si>
  <si>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</si>
  <si>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</si>
  <si>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</si>
  <si>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</si>
  <si>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</si>
  <si>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</si>
  <si>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</si>
  <si>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</si>
  <si>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</si>
  <si>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</si>
  <si>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</si>
  <si>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</si>
  <si>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</si>
  <si>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</si>
  <si>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</si>
  <si>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</si>
  <si>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</si>
  <si>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</si>
  <si>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</si>
  <si>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</si>
  <si>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</si>
  <si>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</si>
  <si>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</si>
  <si>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</si>
  <si>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</si>
  <si>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</si>
  <si>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</si>
  <si>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</si>
  <si>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</si>
  <si>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</si>
  <si>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</si>
  <si>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</si>
  <si>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</si>
  <si>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</si>
  <si>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</si>
  <si>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</si>
  <si>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</si>
  <si>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</si>
  <si>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</si>
  <si>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</si>
  <si>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</si>
  <si>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</si>
  <si>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</si>
  <si>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</si>
  <si>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</si>
  <si>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</si>
  <si>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</si>
  <si>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</si>
  <si>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</si>
  <si>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</si>
  <si>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</si>
  <si>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</si>
  <si>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</si>
  <si>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</si>
  <si>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</si>
  <si>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</si>
  <si>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</si>
  <si>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</si>
  <si>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</si>
  <si>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</si>
  <si>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</si>
  <si>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</si>
  <si>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</si>
  <si>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</si>
  <si>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</si>
  <si>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</si>
  <si>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</si>
  <si>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</si>
  <si>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</si>
  <si>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</si>
  <si>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</si>
  <si>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</si>
  <si>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</si>
  <si>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</si>
  <si>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</si>
  <si>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</si>
  <si>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</si>
  <si>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</si>
  <si>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</si>
  <si>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</si>
  <si>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</si>
  <si>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</si>
  <si>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</si>
  <si>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</si>
  <si>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</si>
  <si>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</si>
  <si>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</si>
  <si>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</si>
  <si>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</si>
  <si>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</si>
  <si>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</si>
  <si>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</si>
  <si>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</si>
  <si>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</si>
  <si>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</si>
  <si>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</si>
  <si>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</si>
  <si>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</si>
  <si>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</si>
  <si>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</si>
  <si>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</si>
  <si>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</si>
  <si>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</si>
  <si>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</si>
  <si>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</si>
  <si>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</si>
  <si>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</si>
  <si>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</si>
  <si>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</si>
  <si>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</si>
  <si>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</si>
  <si>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</si>
  <si>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</si>
  <si>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</si>
  <si>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</si>
  <si>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</si>
  <si>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</si>
  <si>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</si>
  <si>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</si>
  <si>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</si>
  <si>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</si>
  <si>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</si>
  <si>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</si>
  <si>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</si>
  <si>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</si>
  <si>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</si>
  <si>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</si>
  <si>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</si>
  <si>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</si>
  <si>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</si>
  <si>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</si>
  <si>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</si>
  <si>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</si>
  <si>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</si>
  <si>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</si>
  <si>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</si>
  <si>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</si>
  <si>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</si>
  <si>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</si>
  <si>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</si>
  <si>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</si>
  <si>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</si>
  <si>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</si>
  <si>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</si>
  <si>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</si>
  <si>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</si>
  <si>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</si>
  <si>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</si>
  <si>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</si>
  <si>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</si>
  <si>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</si>
  <si>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</si>
  <si>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</si>
  <si>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</si>
  <si>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</si>
  <si>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</si>
  <si>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</si>
  <si>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</si>
  <si>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</si>
  <si>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</si>
  <si>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</si>
  <si>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</si>
  <si>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</si>
  <si>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</si>
  <si>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</si>
  <si>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</si>
  <si>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</si>
  <si>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</si>
  <si>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</si>
  <si>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</si>
  <si>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</si>
  <si>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</si>
  <si>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</si>
  <si>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</si>
  <si>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</si>
  <si>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</si>
  <si>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</si>
  <si>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</si>
  <si>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</si>
  <si>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</si>
  <si>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</si>
  <si>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</si>
  <si>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</si>
  <si>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</si>
  <si>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</si>
  <si>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</si>
  <si>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</si>
  <si>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</si>
  <si>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</si>
  <si>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</si>
  <si>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</si>
  <si>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</si>
  <si>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</si>
  <si>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</si>
  <si>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</si>
  <si>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</si>
  <si>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</si>
  <si>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</si>
  <si>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</si>
  <si>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</si>
  <si>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</si>
  <si>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</si>
  <si>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</si>
  <si>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</si>
  <si>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</si>
  <si>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</si>
  <si>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</si>
  <si>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</si>
  <si>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</si>
  <si>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</si>
  <si>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</si>
  <si>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</si>
  <si>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</si>
  <si>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</si>
  <si>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</si>
  <si>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</si>
  <si>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</si>
  <si>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</si>
  <si>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</si>
  <si>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</si>
  <si>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</si>
  <si>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</si>
  <si>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</si>
  <si>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</si>
  <si>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</si>
  <si>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</si>
  <si>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</si>
  <si>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</si>
  <si>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</si>
  <si>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</si>
  <si>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</si>
  <si>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</si>
  <si>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</si>
  <si>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</si>
  <si>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</si>
  <si>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</si>
  <si>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</si>
  <si>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</si>
  <si>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</si>
  <si>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</si>
  <si>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</si>
  <si>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</si>
  <si>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</si>
  <si>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</si>
  <si>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</si>
  <si>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</si>
  <si>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</si>
  <si>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</si>
  <si>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</si>
  <si>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</si>
  <si>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</si>
  <si>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</si>
  <si>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</si>
  <si>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</si>
  <si>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</si>
  <si>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</si>
  <si>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</si>
  <si>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</si>
  <si>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</si>
  <si>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</si>
  <si>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</si>
  <si>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</si>
  <si>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</si>
  <si>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</si>
  <si>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</si>
  <si>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</si>
  <si>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</si>
  <si>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</si>
  <si>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</si>
  <si>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</si>
  <si>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</si>
  <si>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</si>
  <si>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</si>
  <si>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</si>
  <si>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</si>
  <si>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</si>
  <si>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</si>
  <si>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</si>
  <si>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</si>
  <si>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</si>
  <si>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</si>
  <si>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</si>
  <si>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</si>
  <si>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</si>
  <si>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</si>
  <si>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</si>
  <si>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</si>
  <si>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</si>
  <si>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</si>
  <si>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</si>
  <si>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</si>
  <si>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</si>
  <si>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</si>
  <si>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</si>
  <si>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</si>
  <si>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</si>
  <si>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</si>
  <si>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</si>
  <si>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</si>
  <si>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</si>
  <si>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</si>
  <si>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</si>
  <si>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</si>
  <si>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</si>
  <si>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</si>
  <si>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</si>
  <si>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</si>
  <si>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</si>
  <si>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</si>
  <si>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</si>
  <si>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</si>
  <si>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</si>
  <si>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</si>
  <si>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</si>
  <si>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</si>
  <si>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</si>
  <si>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</si>
  <si>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</si>
  <si>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</si>
  <si>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</si>
  <si>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</si>
  <si>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</si>
  <si>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</si>
  <si>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</si>
  <si>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</si>
  <si>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</si>
  <si>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</si>
  <si>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</si>
  <si>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</si>
  <si>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</si>
  <si>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</si>
  <si>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</si>
  <si>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</si>
  <si>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</si>
  <si>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</si>
  <si>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</si>
  <si>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</si>
  <si>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</si>
  <si>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</si>
  <si>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</si>
  <si>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</si>
  <si>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</si>
  <si>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</si>
  <si>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</si>
  <si>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</si>
  <si>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</si>
  <si>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</si>
  <si>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</si>
  <si>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</si>
  <si>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</si>
  <si>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</si>
  <si>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</si>
  <si>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</si>
  <si>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</si>
  <si>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</si>
  <si>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</si>
  <si>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</si>
  <si>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</si>
  <si>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</si>
  <si>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</si>
  <si>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</si>
  <si>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</si>
  <si>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</si>
  <si>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</si>
  <si>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</si>
  <si>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</si>
  <si>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</si>
  <si>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</si>
  <si>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</si>
  <si>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</si>
  <si>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</si>
  <si>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</si>
  <si>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</si>
  <si>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</si>
  <si>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</si>
  <si>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</si>
  <si>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</si>
  <si>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</si>
  <si>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</si>
  <si>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</si>
  <si>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</si>
  <si>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</si>
  <si>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</si>
  <si>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</si>
  <si>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</si>
  <si>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</si>
  <si>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</si>
  <si>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</si>
  <si>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</si>
  <si>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</si>
  <si>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</si>
  <si>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</si>
  <si>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</si>
  <si>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</si>
  <si>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</si>
  <si>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</si>
  <si>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</si>
  <si>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</si>
  <si>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</si>
  <si>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</si>
  <si>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</si>
  <si>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</si>
  <si>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</si>
  <si>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</si>
  <si>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</si>
  <si>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</si>
  <si>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</si>
  <si>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</si>
  <si>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</si>
  <si>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</si>
  <si>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</si>
  <si>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</si>
  <si>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</si>
  <si>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</si>
  <si>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</si>
  <si>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</si>
  <si>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</si>
  <si>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</si>
  <si>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</si>
  <si>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</si>
  <si>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</si>
  <si>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</si>
  <si>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</si>
  <si>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</si>
  <si>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</si>
  <si>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</si>
  <si>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</si>
  <si>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</si>
  <si>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</si>
  <si>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</si>
  <si>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</si>
  <si>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</si>
  <si>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</si>
  <si>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</si>
  <si>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</si>
  <si>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</si>
  <si>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</si>
  <si>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</si>
  <si>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</si>
  <si>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</si>
  <si>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</si>
  <si>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</si>
  <si>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</si>
  <si>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</si>
  <si>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</si>
  <si>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</si>
  <si>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</si>
  <si>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</si>
  <si>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</si>
  <si>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</si>
  <si>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</si>
  <si>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</si>
  <si>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</si>
  <si>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</si>
  <si>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</si>
  <si>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</si>
  <si>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</si>
  <si>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</si>
  <si>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</si>
  <si>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</si>
  <si>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</si>
  <si>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</si>
  <si>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</si>
  <si>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</si>
  <si>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</si>
  <si>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</si>
  <si>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</si>
  <si>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</si>
  <si>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</si>
  <si>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</si>
  <si>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</si>
  <si>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</si>
  <si>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</si>
  <si>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</si>
  <si>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</si>
  <si>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</si>
  <si>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</si>
  <si>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</si>
  <si>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</si>
  <si>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</si>
  <si>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</si>
  <si>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</si>
  <si>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</si>
  <si>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</si>
  <si>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</si>
  <si>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</si>
  <si>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</si>
  <si>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</si>
  <si>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</si>
  <si>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</si>
  <si>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</si>
  <si>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</si>
  <si>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</si>
  <si>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</si>
  <si>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</si>
  <si>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</si>
  <si>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</si>
  <si>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</si>
  <si>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</si>
  <si>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</si>
  <si>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</si>
  <si>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</si>
  <si>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</si>
  <si>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</si>
  <si>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</si>
  <si>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</si>
  <si>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</si>
  <si>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</si>
  <si>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</si>
  <si>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</si>
  <si>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</si>
  <si>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</si>
  <si>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</si>
  <si>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</si>
  <si>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</si>
  <si>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</si>
  <si>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</si>
  <si>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</si>
  <si>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</si>
  <si>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</si>
  <si>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</si>
  <si>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</si>
  <si>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</si>
  <si>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</si>
  <si>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</si>
  <si>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</si>
  <si>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</si>
  <si>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</si>
  <si>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</si>
  <si>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</si>
  <si>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</si>
  <si>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</si>
  <si>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</si>
  <si>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</si>
  <si>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</si>
  <si>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</si>
  <si>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</si>
  <si>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</si>
  <si>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</si>
  <si>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</si>
  <si>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</si>
  <si>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</si>
  <si>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</si>
  <si>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</si>
  <si>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</si>
  <si>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</si>
  <si>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</si>
  <si>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</si>
  <si>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</si>
  <si>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</si>
  <si>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</si>
  <si>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</si>
  <si>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</si>
  <si>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</si>
  <si>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</si>
  <si>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</si>
  <si>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</si>
  <si>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</si>
  <si>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</si>
  <si>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</si>
  <si>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</si>
  <si>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</si>
  <si>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</si>
  <si>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</si>
  <si>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</si>
  <si>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</si>
  <si>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</si>
  <si>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</si>
  <si>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</si>
  <si>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</si>
  <si>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</si>
  <si>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</si>
  <si>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</si>
  <si>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</si>
  <si>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</si>
  <si>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</si>
  <si>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</si>
  <si>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</si>
  <si>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</si>
  <si>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</si>
  <si>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</si>
  <si>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</si>
  <si>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</si>
  <si>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</si>
  <si>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</si>
  <si>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</si>
  <si>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</si>
  <si>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</si>
  <si>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</si>
  <si>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</si>
  <si>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</si>
  <si>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</si>
  <si>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</si>
  <si>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</si>
  <si>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</si>
  <si>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</si>
  <si>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</si>
  <si>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</si>
  <si>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</si>
  <si>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</si>
  <si>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</si>
  <si>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</si>
  <si>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</si>
  <si>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</si>
  <si>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</si>
  <si>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</si>
  <si>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</si>
  <si>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</si>
  <si>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</si>
  <si>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</si>
  <si>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</si>
  <si>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</si>
  <si>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</si>
  <si>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</si>
  <si>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</si>
  <si>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</si>
  <si>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</si>
  <si>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</si>
  <si>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</si>
  <si>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</si>
  <si>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</si>
  <si>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</si>
  <si>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</si>
  <si>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</si>
  <si>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</si>
  <si>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</si>
  <si>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</si>
  <si>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</si>
  <si>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</si>
  <si>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</si>
  <si>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</si>
  <si>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</si>
  <si>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</si>
  <si>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</si>
  <si>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</si>
  <si>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</si>
  <si>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</si>
  <si>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</si>
  <si>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</si>
  <si>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</si>
  <si>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</si>
  <si>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</si>
  <si>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</si>
  <si>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</si>
  <si>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</si>
  <si>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</si>
  <si>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</si>
  <si>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</si>
  <si>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</si>
  <si>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</si>
  <si>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</si>
  <si>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</si>
  <si>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</si>
  <si>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</si>
  <si>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</si>
  <si>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</si>
  <si>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</si>
  <si>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</si>
  <si>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</si>
  <si>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</si>
  <si>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</si>
  <si>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</si>
  <si>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</si>
  <si>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</si>
  <si>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</si>
  <si>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</si>
  <si>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</si>
  <si>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</si>
  <si>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</si>
  <si>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</si>
  <si>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</si>
  <si>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</si>
  <si>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</si>
  <si>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</si>
  <si>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</si>
  <si>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</si>
  <si>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</si>
  <si>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</si>
  <si>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</si>
  <si>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</si>
  <si>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</si>
  <si>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</si>
  <si>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</si>
  <si>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</si>
  <si>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</si>
  <si>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</si>
  <si>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</si>
  <si>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</si>
  <si>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</si>
  <si>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</si>
  <si>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</si>
  <si>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</si>
  <si>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</si>
  <si>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</si>
  <si>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</si>
  <si>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</si>
  <si>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</si>
  <si>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</si>
  <si>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</si>
  <si>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</si>
  <si>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</si>
  <si>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</si>
  <si>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</si>
  <si>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</si>
  <si>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</si>
  <si>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</si>
  <si>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</si>
  <si>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</si>
  <si>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</si>
  <si>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</si>
  <si>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</si>
  <si>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</si>
  <si>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</si>
  <si>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</si>
  <si>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</si>
  <si>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</si>
  <si>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</si>
  <si>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</si>
  <si>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</si>
  <si>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</si>
  <si>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</si>
  <si>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</si>
  <si>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</si>
  <si>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</si>
  <si>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</si>
  <si>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</si>
  <si>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</si>
  <si>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</si>
  <si>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</si>
  <si>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</si>
  <si>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</si>
  <si>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</si>
  <si>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</si>
  <si>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</si>
  <si>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</si>
  <si>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</si>
  <si>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</si>
  <si>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</si>
  <si>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</si>
  <si>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</si>
  <si>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</si>
  <si>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</si>
  <si>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</si>
  <si>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</si>
  <si>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</si>
  <si>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</si>
  <si>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</si>
  <si>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</si>
  <si>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</si>
  <si>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</si>
  <si>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</si>
  <si>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</si>
  <si>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</si>
  <si>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</si>
  <si>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</si>
  <si>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</si>
  <si>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</si>
  <si>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</si>
  <si>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</si>
  <si>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</si>
  <si>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</si>
  <si>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</si>
  <si>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</si>
  <si>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</si>
  <si>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</si>
  <si>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</si>
  <si>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</si>
  <si>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</si>
  <si>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</si>
  <si>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</si>
  <si>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</si>
  <si>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</si>
  <si>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</si>
  <si>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</si>
  <si>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</si>
  <si>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</si>
  <si>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</si>
  <si>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</si>
  <si>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</si>
  <si>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</si>
  <si>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</si>
  <si>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</si>
  <si>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</si>
  <si>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</si>
  <si>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</si>
  <si>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</si>
  <si>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</si>
  <si>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</si>
  <si>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</si>
  <si>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</si>
  <si>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</si>
  <si>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</si>
  <si>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</si>
  <si>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</si>
  <si>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</si>
  <si>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</si>
  <si>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</si>
  <si>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</si>
  <si>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</si>
  <si>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</si>
  <si>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</si>
  <si>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</si>
  <si>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</si>
  <si>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</si>
  <si>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</si>
  <si>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</si>
  <si>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</si>
  <si>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</si>
  <si>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</si>
  <si>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</si>
  <si>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</si>
  <si>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</si>
  <si>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</si>
  <si>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</si>
  <si>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</si>
  <si>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</si>
  <si>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</si>
  <si>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</si>
  <si>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</si>
  <si>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</si>
  <si>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</si>
  <si>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</si>
  <si>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</si>
  <si>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</si>
  <si>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</si>
  <si>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</si>
  <si>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</si>
  <si>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</si>
  <si>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</si>
  <si>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</si>
  <si>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</si>
  <si>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</si>
  <si>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</si>
  <si>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</si>
  <si>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</si>
  <si>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</si>
  <si>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</si>
  <si>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</si>
  <si>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</si>
  <si>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</si>
  <si>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</si>
  <si>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</si>
  <si>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</si>
  <si>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</si>
  <si>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</si>
  <si>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</si>
  <si>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</si>
  <si>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</si>
  <si>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</si>
  <si>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</si>
  <si>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</si>
  <si>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</si>
  <si>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</si>
  <si>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</si>
  <si>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</si>
  <si>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</si>
  <si>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</si>
  <si>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</si>
  <si>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</si>
  <si>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</si>
  <si>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</si>
  <si>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</si>
  <si>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</si>
  <si>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</si>
  <si>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</si>
  <si>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</si>
  <si>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</si>
  <si>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</si>
  <si>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</si>
  <si>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</si>
  <si>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</si>
  <si>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</si>
  <si>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</si>
  <si>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</si>
  <si>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</si>
  <si>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</si>
  <si>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</si>
  <si>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</si>
  <si>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</si>
  <si>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</si>
  <si>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</si>
  <si>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</si>
  <si>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</si>
  <si>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</si>
  <si>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</si>
  <si>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</si>
  <si>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</si>
  <si>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</si>
  <si>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</si>
  <si>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</si>
  <si>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</si>
  <si>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</si>
  <si>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</si>
  <si>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</si>
  <si>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</si>
  <si>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</si>
  <si>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</si>
  <si>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</si>
  <si>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</si>
  <si>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</si>
  <si>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</si>
  <si>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</si>
  <si>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</si>
  <si>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</si>
  <si>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</si>
  <si>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</si>
  <si>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</si>
  <si>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</si>
  <si>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</si>
  <si>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</si>
  <si>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</si>
  <si>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</si>
  <si>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</si>
  <si>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</si>
  <si>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</si>
  <si>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</si>
  <si>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</si>
  <si>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</si>
  <si>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</si>
  <si>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</si>
  <si>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</si>
  <si>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</si>
  <si>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</si>
  <si>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</si>
  <si>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</si>
  <si>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</si>
  <si>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</si>
  <si>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</si>
  <si>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</si>
  <si>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</si>
  <si>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</si>
  <si>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</si>
  <si>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</si>
  <si>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</si>
  <si>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</si>
  <si>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</si>
  <si>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</si>
  <si>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</si>
  <si>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</si>
  <si>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</si>
  <si>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</si>
  <si>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</si>
  <si>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</si>
  <si>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</si>
  <si>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</si>
  <si>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</si>
  <si>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</si>
  <si>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</si>
  <si>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</si>
  <si>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</si>
  <si>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</si>
  <si>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</si>
  <si>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</si>
  <si>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</si>
  <si>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</si>
  <si>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</si>
  <si>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</si>
  <si>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</si>
  <si>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</si>
  <si>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</si>
  <si>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</si>
  <si>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</si>
  <si>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</si>
  <si>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</si>
  <si>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</si>
  <si>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</si>
  <si>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</si>
  <si>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</si>
  <si>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</si>
  <si>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</si>
  <si>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</si>
  <si>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</si>
  <si>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</si>
  <si>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</si>
  <si>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</si>
  <si>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</si>
  <si>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</si>
  <si>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</si>
  <si>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</si>
  <si>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</si>
  <si>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</si>
  <si>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</si>
  <si>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</si>
  <si>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</si>
  <si>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</si>
  <si>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</si>
  <si>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</si>
  <si>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</si>
  <si>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</si>
  <si>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</si>
  <si>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</si>
  <si>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</si>
  <si>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</si>
  <si>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</si>
  <si>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</si>
  <si>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</si>
  <si>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</si>
  <si>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</si>
  <si>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</si>
  <si>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</si>
  <si>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</si>
  <si>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</si>
  <si>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</si>
  <si>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</si>
  <si>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</si>
  <si>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</si>
  <si>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</si>
  <si>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</si>
  <si>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</si>
  <si>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</si>
  <si>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</si>
  <si>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</si>
  <si>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</si>
  <si>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</si>
  <si>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</si>
  <si>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</si>
  <si>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</si>
  <si>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</si>
  <si>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</si>
  <si>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</si>
  <si>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</si>
  <si>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</si>
  <si>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</si>
  <si>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</si>
  <si>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</si>
  <si>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</si>
  <si>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</si>
  <si>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</si>
  <si>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</si>
  <si>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</si>
  <si>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</si>
  <si>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</si>
  <si>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</si>
  <si>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</si>
  <si>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</si>
  <si>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</si>
  <si>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</si>
  <si>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</si>
  <si>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</si>
  <si>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</si>
  <si>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</si>
  <si>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</si>
  <si>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</si>
  <si>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</si>
  <si>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</si>
  <si>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</si>
  <si>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</si>
  <si>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</si>
  <si>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</si>
  <si>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</si>
  <si>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</si>
  <si>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</si>
  <si>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</si>
  <si>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</si>
  <si>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</si>
  <si>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</si>
  <si>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</si>
  <si>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</si>
  <si>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</si>
  <si>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</si>
  <si>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</si>
  <si>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</si>
  <si>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</si>
  <si>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</si>
  <si>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</si>
  <si>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</si>
  <si>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</si>
  <si>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</si>
  <si>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</si>
  <si>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</si>
  <si>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</si>
  <si>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</si>
  <si>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</si>
  <si>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</si>
  <si>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</si>
  <si>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</si>
  <si>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</si>
  <si>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</si>
  <si>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</si>
  <si>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</si>
  <si>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</si>
  <si>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</si>
  <si>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</si>
  <si>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</si>
  <si>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</si>
  <si>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</si>
  <si>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</si>
  <si>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</si>
  <si>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</si>
  <si>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</si>
  <si>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</si>
  <si>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</si>
  <si>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</si>
  <si>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</si>
  <si>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</si>
  <si>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</si>
  <si>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</si>
  <si>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</si>
  <si>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</si>
  <si>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</si>
  <si>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</si>
  <si>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</si>
  <si>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</si>
  <si>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</si>
  <si>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</si>
  <si>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</si>
  <si>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</si>
  <si>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</si>
  <si>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</si>
  <si>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</si>
  <si>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</si>
  <si>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</si>
  <si>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</si>
  <si>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</si>
  <si>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</si>
  <si>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</si>
  <si>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</si>
  <si>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</si>
  <si>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</si>
  <si>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</si>
  <si>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</si>
  <si>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</si>
  <si>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</si>
  <si>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</si>
  <si>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</si>
  <si>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</si>
  <si>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</si>
  <si>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</si>
  <si>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</si>
  <si>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</si>
  <si>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</si>
  <si>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</si>
  <si>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</si>
  <si>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</si>
  <si>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</si>
  <si>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</si>
  <si>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</si>
  <si>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</si>
  <si>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</si>
  <si>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</si>
  <si>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</si>
  <si>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</si>
  <si>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</si>
  <si>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</si>
  <si>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</si>
  <si>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</si>
  <si>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</si>
  <si>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</si>
  <si>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</si>
  <si>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</si>
  <si>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</si>
  <si>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</si>
  <si>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</si>
  <si>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</si>
  <si>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</si>
  <si>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Clarksville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</si>
</sst>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103</v>
      </c>
      <c r="C2" s="21">
        <v>103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4786.08</v>
      </c>
      <c r="G9" s="18"/>
      <c r="H9" s="18"/>
      <c r="I9" s="18"/>
      <c r="J9" s="67">
        <f>SUM(I440)</f>
        <v>86061.83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528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5314.08</v>
      </c>
      <c r="G19" s="41">
        <f>SUM(G9:G18)</f>
        <v>0</v>
      </c>
      <c r="H19" s="41">
        <f>SUM(H9:H18)</f>
        <v>0</v>
      </c>
      <c r="I19" s="41">
        <f>SUM(I9:I18)</f>
        <v>0</v>
      </c>
      <c r="J19" s="41">
        <f>SUM(J9:J18)</f>
        <v>86061.83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3539</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3539</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86061.83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70054.61+476632.58-541412.11-3500</f>
        <v>1775.0800000000745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1775.0800000000745</v>
      </c>
      <c r="G51" s="41">
        <f>SUM(G35:G50)</f>
        <v>0</v>
      </c>
      <c r="H51" s="41">
        <f>SUM(H35:H50)</f>
        <v>0</v>
      </c>
      <c r="I51" s="41">
        <f>SUM(I35:I50)</f>
        <v>0</v>
      </c>
      <c r="J51" s="41">
        <f>SUM(J35:J50)</f>
        <v>86061.83</v>
      </c>
      <c r="K51" s="45" t="s">
        <v>288</v>
      </c>
      <c r="L51" s="45" t="s">
        <v>288</v>
      </c>
      <c r="N51" s="264"/>
    </row>
    <row r="52" spans="1:14" s="3" customFormat="1" ht="12.2" customHeight="1" thickTop="1" x14ac:dyDescent="0.15">
      <c r="A52" s="38" t="s">
        <v>455</v>
      </c>
      <c r="B52" s="39" t="s">
        <v>289</v>
      </c>
      <c r="C52" s="6">
        <v>37</v>
      </c>
      <c r="D52" s="39" t="s">
        <v>653</v>
      </c>
      <c r="E52" s="39"/>
      <c r="F52" s="41">
        <f>F51+F32</f>
        <v>5314.0800000000745</v>
      </c>
      <c r="G52" s="41">
        <f>G51+G32</f>
        <v>0</v>
      </c>
      <c r="H52" s="41">
        <f>H51+H32</f>
        <v>0</v>
      </c>
      <c r="I52" s="41">
        <f>I51+I32</f>
        <v>0</v>
      </c>
      <c r="J52" s="41">
        <f>J51+J32</f>
        <v>86061.83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257015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257015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1631.24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1631.24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257015</v>
      </c>
      <c r="G112" s="41">
        <f>G60+G111</f>
        <v>0</v>
      </c>
      <c r="H112" s="41">
        <f>H60+H79+H94+H111</f>
        <v>0</v>
      </c>
      <c r="I112" s="41">
        <f>I60+I111</f>
        <v>0</v>
      </c>
      <c r="J112" s="41">
        <f>J60+J111</f>
        <v>1631.24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64334.57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94683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159017.57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159017.57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3600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3600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3600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f>57000-3500</f>
        <v>53500</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53500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53500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469532.57</v>
      </c>
      <c r="G194" s="47">
        <f>G112+G140+G170+G193</f>
        <v>0</v>
      </c>
      <c r="H194" s="47">
        <f>H112+H140+H170+H193</f>
        <v>3600</v>
      </c>
      <c r="I194" s="47">
        <f>I112+I140+I170+I193</f>
        <v>0</v>
      </c>
      <c r="J194" s="47">
        <f>J112+J140+J193</f>
        <v>1631.24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0</v>
      </c>
      <c r="G198" s="18"/>
      <c r="H198" s="18">
        <v>253628.15</v>
      </c>
      <c r="I198" s="18"/>
      <c r="J198" s="18"/>
      <c r="K198" s="18"/>
      <c r="L198" s="19">
        <f>SUM(F198:K198)</f>
        <v>253628.15</v>
      </c>
      <c r="M198" s="8"/>
      <c r="N198" s="266"/>
    </row>
    <row r="199" spans="1:14" s="3" customFormat="1" ht="12.2" customHeight="1" x14ac:dyDescent="0.15">
      <c r="A199" s="1" t="s">
        <v>439</v>
      </c>
      <c r="B199" s="2" t="s">
        <v>341</v>
      </c>
      <c r="C199" s="2" t="s">
        <v>291</v>
      </c>
      <c r="D199" s="2" t="s">
        <v>431</v>
      </c>
      <c r="E199" s="6">
        <v>1200</v>
      </c>
      <c r="F199" s="18"/>
      <c r="G199" s="18"/>
      <c r="H199" s="18">
        <v>0</v>
      </c>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f>2344.15+4156.34-3600</f>
        <v>2900.49</v>
      </c>
      <c r="I203" s="18"/>
      <c r="J203" s="18"/>
      <c r="K203" s="18">
        <v>2880</v>
      </c>
      <c r="L203" s="19">
        <f t="shared" ref="L203:L209" si="0">SUM(F203:K203)</f>
        <v>5780.49</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1283.75</v>
      </c>
      <c r="G205" s="18">
        <f>98.22+266.17</f>
        <v>364.39</v>
      </c>
      <c r="H205" s="18">
        <f>265.2+232.05+1662+834.36+23026</f>
        <v>26019.61</v>
      </c>
      <c r="I205" s="18">
        <v>11.95</v>
      </c>
      <c r="J205" s="18"/>
      <c r="K205" s="18">
        <v>1450.45</v>
      </c>
      <c r="L205" s="19">
        <f t="shared" si="0"/>
        <v>29130.15</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29153.48</v>
      </c>
      <c r="I209" s="18"/>
      <c r="J209" s="18"/>
      <c r="K209" s="18"/>
      <c r="L209" s="19">
        <f t="shared" si="0"/>
        <v>29153.48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1283.75</v>
      </c>
      <c r="G212" s="41">
        <f t="shared" si="1"/>
        <v>364.39</v>
      </c>
      <c r="H212" s="41">
        <f t="shared" si="1"/>
        <v>311701.73</v>
      </c>
      <c r="I212" s="41">
        <f t="shared" si="1"/>
        <v>11.95</v>
      </c>
      <c r="J212" s="41">
        <f t="shared" si="1"/>
        <v>0</v>
      </c>
      <c r="K212" s="41">
        <f t="shared" si="1"/>
        <v>4330.45</v>
      </c>
      <c r="L212" s="41">
        <f t="shared" si="1"/>
        <v>317692.26999999996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176250.07</v>
      </c>
      <c r="I234" s="18"/>
      <c r="J234" s="18"/>
      <c r="K234" s="18"/>
      <c r="L234" s="19">
        <f>SUM(F234:K234)</f>
        <v>176250.07</v>
      </c>
      <c r="M234" s="8"/>
      <c r="N234" s="266"/>
    </row>
    <row r="235" spans="1:14" s="3" customFormat="1" ht="12.2" customHeight="1" x14ac:dyDescent="0.15">
      <c r="A235" s="1" t="s">
        <v>439</v>
      </c>
      <c r="B235" s="2" t="s">
        <v>350</v>
      </c>
      <c r="C235" s="2" t="s">
        <v>291</v>
      </c>
      <c r="D235" s="2" t="s">
        <v>431</v>
      </c>
      <c r="E235" s="6">
        <v>1200</v>
      </c>
      <c r="F235" s="18"/>
      <c r="G235" s="18"/>
      <c r="H235" s="18">
        <v>7373.34</v>
      </c>
      <c r="I235" s="18"/>
      <c r="J235" s="18"/>
      <c r="K235" s="18"/>
      <c r="L235" s="19">
        <f>SUM(F235:K235)</f>
        <v>7373.34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v>720</v>
      </c>
      <c r="L239" s="19">
        <f t="shared" ref="L239:L245" si="4">SUM(F239:K239)</f>
        <v>720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691.25</v>
      </c>
      <c r="G241" s="18">
        <f>52.88+66.54</f>
        <v>119.42000000000002</v>
      </c>
      <c r="H241" s="18">
        <f>66.3+99.45+506+208.59+15350</f>
        <v>16230.34</v>
      </c>
      <c r="I241" s="18">
        <v>52.57</v>
      </c>
      <c r="J241" s="18"/>
      <c r="K241" s="18">
        <v>814.33</v>
      </c>
      <c r="L241" s="19">
        <f t="shared" si="4"/>
        <v>17907.910000000003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17868.52</v>
      </c>
      <c r="I245" s="18"/>
      <c r="J245" s="18"/>
      <c r="K245" s="18"/>
      <c r="L245" s="19">
        <f t="shared" si="4"/>
        <v>17868.52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691.25</v>
      </c>
      <c r="G248" s="41">
        <f t="shared" si="5"/>
        <v>119.42000000000002</v>
      </c>
      <c r="H248" s="41">
        <f t="shared" si="5"/>
        <v>217722.27</v>
      </c>
      <c r="I248" s="41">
        <f t="shared" si="5"/>
        <v>52.57</v>
      </c>
      <c r="J248" s="41">
        <f t="shared" si="5"/>
        <v>0</v>
      </c>
      <c r="K248" s="41">
        <f t="shared" si="5"/>
        <v>1534.33</v>
      </c>
      <c r="L248" s="41">
        <f t="shared" si="5"/>
        <v>220119.84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1975</v>
      </c>
      <c r="G258" s="41">
        <f t="shared" si="8"/>
        <v>483.81</v>
      </c>
      <c r="H258" s="41">
        <f t="shared" si="8"/>
        <v>529424</v>
      </c>
      <c r="I258" s="41">
        <f t="shared" si="8"/>
        <v>64.52</v>
      </c>
      <c r="J258" s="41">
        <f t="shared" si="8"/>
        <v>0</v>
      </c>
      <c r="K258" s="41">
        <f t="shared" si="8"/>
        <v>5864.78</v>
      </c>
      <c r="L258" s="41">
        <f t="shared" si="8"/>
        <v>537812.11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1975</v>
      </c>
      <c r="G272" s="42">
        <f t="shared" si="11"/>
        <v>483.81</v>
      </c>
      <c r="H272" s="42">
        <f t="shared" si="11"/>
        <v>529424</v>
      </c>
      <c r="I272" s="42">
        <f t="shared" si="11"/>
        <v>64.52</v>
      </c>
      <c r="J272" s="42">
        <f t="shared" si="11"/>
        <v>0</v>
      </c>
      <c r="K272" s="42">
        <f t="shared" si="11"/>
        <v>5864.78</v>
      </c>
      <c r="L272" s="42">
        <f t="shared" si="11"/>
        <v>537812.11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v>3600</v>
      </c>
      <c r="K277" s="18"/>
      <c r="L277" s="19">
        <f>SUM(F277:K277)</f>
        <v>3600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3600</v>
      </c>
      <c r="K291" s="42">
        <f t="shared" si="13"/>
        <v>0</v>
      </c>
      <c r="L291" s="41">
        <f t="shared" si="13"/>
        <v>3600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3600</v>
      </c>
      <c r="K339" s="41">
        <f t="shared" si="20"/>
        <v>0</v>
      </c>
      <c r="L339" s="41">
        <f t="shared" si="20"/>
        <v>3600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3600</v>
      </c>
      <c r="K353" s="47">
        <f>K339+K352</f>
        <v>0</v>
      </c>
      <c r="L353" s="41">
        <f>L339+L352</f>
        <v>3600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v>0</v>
      </c>
      <c r="H399" s="18">
        <v>1631.24</v>
      </c>
      <c r="I399" s="18"/>
      <c r="J399" s="24" t="s">
        <v>288</v>
      </c>
      <c r="K399" s="24" t="s">
        <v>288</v>
      </c>
      <c r="L399" s="56">
        <f t="shared" si="26"/>
        <v>1631.24</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1631.24</v>
      </c>
      <c r="I402" s="47">
        <f>SUM(I396:I401)</f>
        <v>0</v>
      </c>
      <c r="J402" s="45" t="s">
        <v>288</v>
      </c>
      <c r="K402" s="45" t="s">
        <v>288</v>
      </c>
      <c r="L402" s="47">
        <f>SUM(L396:L401)</f>
        <v>1631.24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1631.24</v>
      </c>
      <c r="I409" s="47">
        <f>I394+I402+I408</f>
        <v>0</v>
      </c>
      <c r="J409" s="24" t="s">
        <v>288</v>
      </c>
      <c r="K409" s="24" t="s">
        <v>288</v>
      </c>
      <c r="L409" s="47">
        <f>L394+L402+L408</f>
        <v>1631.24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f>57000-3500</f>
        <v>53500</v>
      </c>
      <c r="L425" s="56">
        <f t="shared" si="29"/>
        <v>53500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53500</v>
      </c>
      <c r="L428" s="47">
        <f t="shared" si="30"/>
        <v>53500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53500</v>
      </c>
      <c r="L435" s="47">
        <f t="shared" si="32"/>
        <v>53500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f>82561.83+3500</f>
        <v>86061.83</v>
      </c>
      <c r="H440" s="18"/>
      <c r="I440" s="56">
        <f t="shared" ref="I440:I446" si="33">SUM(F440:H440)</f>
        <v>86061.83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86061.83</v>
      </c>
      <c r="H447" s="13">
        <f>SUM(H440:H446)</f>
        <v>0</v>
      </c>
      <c r="I447" s="13">
        <f>SUM(I440:I446)</f>
        <v>86061.83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82561.83+3500</f>
        <v>86061.83</v>
      </c>
      <c r="H460" s="18"/>
      <c r="I460" s="56">
        <f t="shared" si="34"/>
        <v>86061.83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86061.83</v>
      </c>
      <c r="H461" s="83">
        <f>SUM(H455:H460)</f>
        <v>0</v>
      </c>
      <c r="I461" s="83">
        <f>SUM(I455:I460)</f>
        <v>86061.83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86061.83</v>
      </c>
      <c r="H462" s="42">
        <f>H453+H461</f>
        <v>0</v>
      </c>
      <c r="I462" s="42">
        <f>I453+I461</f>
        <v>86061.83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70054.62</v>
      </c>
      <c r="G466" s="18"/>
      <c r="H466" s="18"/>
      <c r="I466" s="18"/>
      <c r="J466" s="18">
        <v>137930.59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476632.57-3600-3500</f>
        <v>469532.57</v>
      </c>
      <c r="G469" s="18"/>
      <c r="H469" s="18">
        <v>3600</v>
      </c>
      <c r="I469" s="18"/>
      <c r="J469" s="18">
        <v>1631.24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469532.57</v>
      </c>
      <c r="G471" s="53">
        <f>SUM(G469:G470)</f>
        <v>0</v>
      </c>
      <c r="H471" s="53">
        <f>SUM(H469:H470)</f>
        <v>3600</v>
      </c>
      <c r="I471" s="53">
        <f>SUM(I469:I470)</f>
        <v>0</v>
      </c>
      <c r="J471" s="53">
        <f>SUM(J469:J470)</f>
        <v>1631.24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541412.11-3600</f>
        <v>537812.11</v>
      </c>
      <c r="G473" s="18"/>
      <c r="H473" s="18">
        <v>3600</v>
      </c>
      <c r="I473" s="18"/>
      <c r="J473" s="18">
        <f>57000-3500</f>
        <v>53500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537812.11</v>
      </c>
      <c r="G475" s="53">
        <f>SUM(G473:G474)</f>
        <v>0</v>
      </c>
      <c r="H475" s="53">
        <f>SUM(H473:H474)</f>
        <v>3600</v>
      </c>
      <c r="I475" s="53">
        <f>SUM(I473:I474)</f>
        <v>0</v>
      </c>
      <c r="J475" s="53">
        <f>SUM(J473:J474)</f>
        <v>53500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1775.0799999999581</v>
      </c>
      <c r="G477" s="53">
        <f>(G466+G471)- G475</f>
        <v>0</v>
      </c>
      <c r="H477" s="53">
        <f>(H466+H471)- H475</f>
        <v>0</v>
      </c>
      <c r="I477" s="53">
        <f>(I466+I471)- I475</f>
        <v>0</v>
      </c>
      <c r="J477" s="53">
        <f>(J466+J471)- J475</f>
        <v>86061.829999999987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7373.34</v>
      </c>
      <c r="I524" s="18"/>
      <c r="J524" s="18"/>
      <c r="K524" s="18"/>
      <c r="L524" s="88">
        <f>SUM(F524:K524)</f>
        <v>7373.34</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7373.34</v>
      </c>
      <c r="I525" s="108">
        <f t="shared" si="36"/>
        <v>0</v>
      </c>
      <c r="J525" s="108">
        <f t="shared" si="36"/>
        <v>0</v>
      </c>
      <c r="K525" s="108">
        <f t="shared" si="36"/>
        <v>0</v>
      </c>
      <c r="L525" s="89">
        <f t="shared" si="36"/>
        <v>7373.34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2344.15+4156.34+3168</f>
        <v>9668.49</v>
      </c>
      <c r="I527" s="18"/>
      <c r="J527" s="18"/>
      <c r="K527" s="18"/>
      <c r="L527" s="88">
        <f>SUM(F527:K527)</f>
        <v>9668.49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9668.49</v>
      </c>
      <c r="I530" s="89">
        <f t="shared" si="37"/>
        <v>0</v>
      </c>
      <c r="J530" s="89">
        <f t="shared" si="37"/>
        <v>0</v>
      </c>
      <c r="K530" s="89">
        <f t="shared" si="37"/>
        <v>0</v>
      </c>
      <c r="L530" s="89">
        <f t="shared" si="37"/>
        <v>9668.49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3024</v>
      </c>
      <c r="I532" s="18"/>
      <c r="J532" s="18"/>
      <c r="K532" s="18"/>
      <c r="L532" s="88">
        <f>SUM(F532:K532)</f>
        <v>3024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1008</v>
      </c>
      <c r="I534" s="18"/>
      <c r="J534" s="18"/>
      <c r="K534" s="18"/>
      <c r="L534" s="88">
        <f>SUM(F534:K534)</f>
        <v>1008</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4032</v>
      </c>
      <c r="I535" s="89">
        <f t="shared" si="38"/>
        <v>0</v>
      </c>
      <c r="J535" s="89">
        <f t="shared" si="38"/>
        <v>0</v>
      </c>
      <c r="K535" s="89">
        <f t="shared" si="38"/>
        <v>0</v>
      </c>
      <c r="L535" s="89">
        <f t="shared" si="38"/>
        <v>4032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21073.83</v>
      </c>
      <c r="I546" s="89">
        <f t="shared" si="41"/>
        <v>0</v>
      </c>
      <c r="J546" s="89">
        <f t="shared" si="41"/>
        <v>0</v>
      </c>
      <c r="K546" s="89">
        <f t="shared" si="41"/>
        <v>0</v>
      </c>
      <c r="L546" s="89">
        <f t="shared" si="41"/>
        <v>21073.83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9668.49</v>
      </c>
      <c r="H550" s="87">
        <f>L532</f>
        <v>3024</v>
      </c>
      <c r="I550" s="87">
        <f>L537</f>
        <v>0</v>
      </c>
      <c r="J550" s="87">
        <f>L542</f>
        <v>0</v>
      </c>
      <c r="K550" s="87">
        <f>SUM(F550:J550)</f>
        <v>12692.49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7373.34</v>
      </c>
      <c r="G552" s="87">
        <f>L529</f>
        <v>0</v>
      </c>
      <c r="H552" s="87">
        <f>L534</f>
        <v>1008</v>
      </c>
      <c r="I552" s="87">
        <f>L539</f>
        <v>0</v>
      </c>
      <c r="J552" s="87">
        <f>L544</f>
        <v>0</v>
      </c>
      <c r="K552" s="87">
        <f>SUM(F552:J552)</f>
        <v>8381.34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7373.34</v>
      </c>
      <c r="G553" s="89">
        <f t="shared" si="42"/>
        <v>9668.49</v>
      </c>
      <c r="H553" s="89">
        <f t="shared" si="42"/>
        <v>4032</v>
      </c>
      <c r="I553" s="89">
        <f t="shared" si="42"/>
        <v>0</v>
      </c>
      <c r="J553" s="89">
        <f t="shared" si="42"/>
        <v>0</v>
      </c>
      <c r="K553" s="89">
        <f t="shared" si="42"/>
        <v>21073.83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253628.15</v>
      </c>
      <c r="G576" s="18"/>
      <c r="H576" s="18">
        <v>176250.07</v>
      </c>
      <c r="I576" s="87">
        <f>SUM(F576:H576)</f>
        <v>429878.22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29153.48</v>
      </c>
      <c r="I592" s="18"/>
      <c r="J592" s="18">
        <v>17868.52</v>
      </c>
      <c r="K592" s="104">
        <f t="shared" ref="K592:K598" si="48">SUM(H592:J592)</f>
        <v>47022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29153.48</v>
      </c>
      <c r="I599" s="108">
        <f>SUM(I592:I598)</f>
        <v>0</v>
      </c>
      <c r="J599" s="108">
        <f>SUM(J592:J598)</f>
        <v>17868.52</v>
      </c>
      <c r="K599" s="108">
        <f>SUM(K592:K598)</f>
        <v>47022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3600</v>
      </c>
      <c r="I605" s="18"/>
      <c r="J605" s="18"/>
      <c r="K605" s="104">
        <f>SUM(H605:J605)</f>
        <v>3600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3600</v>
      </c>
      <c r="I606" s="108">
        <f>SUM(I603:I605)</f>
        <v>0</v>
      </c>
      <c r="J606" s="108">
        <f>SUM(J603:J605)</f>
        <v>0</v>
      </c>
      <c r="K606" s="108">
        <f>SUM(K603:K605)</f>
        <v>3600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5314.08</v>
      </c>
      <c r="H618" s="109">
        <f>SUM(F52)</f>
        <v>5314.0800000000745</v>
      </c>
      <c r="I618" s="121" t="s">
        <v>875</v>
      </c>
      <c r="J618" s="109">
        <f>G618-H618</f>
        <v>-7.4578565545380116E-11</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86061.83</v>
      </c>
      <c r="H622" s="109">
        <f>SUM(J52)</f>
        <v>86061.83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1775.0800000000745</v>
      </c>
      <c r="H623" s="109">
        <f>F477</f>
        <v>1775.0799999999581</v>
      </c>
      <c r="I623" s="121" t="s">
        <v>101</v>
      </c>
      <c r="J623" s="109">
        <f t="shared" ref="J623:J656" si="50">G623-H623</f>
        <v>1.1641532182693481E-10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86061.83</v>
      </c>
      <c r="H627" s="109">
        <f>J477</f>
        <v>86061.829999999987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469532.57</v>
      </c>
      <c r="H628" s="104">
        <f>SUM(F469)</f>
        <v>469532.57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3600</v>
      </c>
      <c r="H630" s="104">
        <f>SUM(H469)</f>
        <v>3600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1631.24</v>
      </c>
      <c r="H632" s="104">
        <f>SUM(J469)</f>
        <v>1631.24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537812.11</v>
      </c>
      <c r="H633" s="104">
        <f>SUM(F473)</f>
        <v>537812.11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3600</v>
      </c>
      <c r="H634" s="104">
        <f>SUM(H473)</f>
        <v>3600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1631.24</v>
      </c>
      <c r="H638" s="164">
        <f>SUM(J469)</f>
        <v>1631.24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53500</v>
      </c>
      <c r="H639" s="164">
        <f>SUM(J473)</f>
        <v>53500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86061.83</v>
      </c>
      <c r="H641" s="104">
        <f>SUM(G462)</f>
        <v>86061.83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86061.83</v>
      </c>
      <c r="H643" s="104">
        <f>SUM(I462)</f>
        <v>86061.83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1631.24</v>
      </c>
      <c r="H645" s="104">
        <f>H409</f>
        <v>1631.24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1631.24</v>
      </c>
      <c r="H647" s="104">
        <f>L409</f>
        <v>1631.24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47022</v>
      </c>
      <c r="H648" s="104">
        <f>L209+L227+L245</f>
        <v>47022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3600</v>
      </c>
      <c r="H649" s="104">
        <f>(J258+J339)-(J256+J337)</f>
        <v>3600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29153.48</v>
      </c>
      <c r="H650" s="104">
        <f>H599</f>
        <v>29153.48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17868.52</v>
      </c>
      <c r="H652" s="104">
        <f>J599</f>
        <v>17868.52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321292.26999999996</v>
      </c>
      <c r="G661" s="19">
        <f>(L230+L310+L360)</f>
        <v>0</v>
      </c>
      <c r="H661" s="19">
        <f>(L248+L329+L361)</f>
        <v>220119.84</v>
      </c>
      <c r="I661" s="19">
        <f>SUM(F661:H661)</f>
        <v>541412.11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29153.48</v>
      </c>
      <c r="G663" s="19">
        <f>(L227+L307)-(J227+J307)</f>
        <v>0</v>
      </c>
      <c r="H663" s="19">
        <f>(L245+L326)-(J245+J326)</f>
        <v>17868.52</v>
      </c>
      <c r="I663" s="19">
        <f>SUM(F663:H663)</f>
        <v>47022</v>
      </c>
      <c r="J663"/>
      <c r="K663" s="13"/>
      <c r="L663" s="13"/>
      <c r="M663" s="9"/>
    </row>
    <row r="664" spans="1:13" s="3" customFormat="1" ht="12.2" customHeight="1" x14ac:dyDescent="0.15">
      <c r="A664" s="198" t="s">
        <v>129</v>
      </c>
      <c r="B664" s="169"/>
      <c r="C664" s="169"/>
      <c r="D664" s="169"/>
      <c r="E664" s="169"/>
      <c r="F664" s="199">
        <f>SUM(F576:F588)+SUM(H603:H605)+SUM(L612)</f>
        <v>257228.15</v>
      </c>
      <c r="G664" s="199">
        <f>SUM(G576:G588)+SUM(I603:I605)+L613</f>
        <v>0</v>
      </c>
      <c r="H664" s="199">
        <f>SUM(H576:H588)+SUM(J603:J605)+L614</f>
        <v>176250.07</v>
      </c>
      <c r="I664" s="19">
        <f>SUM(F664:H664)</f>
        <v>433478.22</v>
      </c>
      <c r="J664" s="13"/>
      <c r="K664" s="13"/>
      <c r="L664" s="13"/>
      <c r="M664" s="9"/>
    </row>
    <row r="665" spans="1:13" s="3" customFormat="1" ht="12.2" customHeight="1" x14ac:dyDescent="0.15">
      <c r="A665" s="1" t="s">
        <v>130</v>
      </c>
      <c r="F665" s="19">
        <f>F661-SUM(F662:F664)</f>
        <v>34910.639999999956</v>
      </c>
      <c r="G665" s="19">
        <f>G661-SUM(G662:G664)</f>
        <v>0</v>
      </c>
      <c r="H665" s="19">
        <f>H661-SUM(H662:H664)</f>
        <v>26001.25</v>
      </c>
      <c r="I665" s="19">
        <f>I661-SUM(I662:I664)</f>
        <v>60911.890000000014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-34910.639999999999</v>
      </c>
      <c r="G670" s="18"/>
      <c r="H670" s="18">
        <v>-26001.25</v>
      </c>
      <c r="I670" s="19">
        <f>SUM(F670:H670)</f>
        <v>-60911.89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G25" sqref="G25"/>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3600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c r="F22" s="348"/>
    </row>
    <row r="23" spans="2:8" x14ac:dyDescent="0.25">
      <c r="B23" s="348"/>
      <c r="C23" s="348"/>
      <c r="D23" s="348"/>
      <c r="E23" s="348"/>
      <c r="F23" s="348"/>
    </row>
    <row r="24" spans="2:8" ht="26.25" customHeight="1" x14ac:dyDescent="0.25">
      <c r="B24" s="348"/>
      <c r="C24" s="350" t="s">
        <v>1661</v>
      </c>
      <c r="D24" s="348"/>
      <c r="E24" s="343">
        <v>0</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v>3600</v>
      </c>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Clarksville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Clarksville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Clarksville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437251.56</v>
      </c>
      <c r="D5" s="20">
        <f>SUM('DOE25'!L198:L201)+SUM('DOE25'!L216:L219)+SUM('DOE25'!L234:L237)-F5-G5-H5</f>
        <v>437251.56</v>
      </c>
      <c r="E5" s="243"/>
      <c r="F5" s="244"/>
      <c r="G5" s="53">
        <f>SUM('DOE25'!J198:J201)+SUM('DOE25'!J216:J219)+SUM('DOE25'!J234:J237)</f>
        <v>0</v>
      </c>
      <c r="H5" s="53">
        <f>SUM('DOE25'!K198:K201)+SUM('DOE25'!K216:K219)+SUM('DOE25'!K234:K237)</f>
        <v>0</v>
      </c>
      <c r="I5" s="256"/>
    </row>
    <row r="6" spans="1:9" x14ac:dyDescent="0.2">
      <c r="A6" s="32">
        <v>2100</v>
      </c>
      <c r="B6" t="s">
        <v>796</v>
      </c>
      <c r="C6" s="275">
        <f t="shared" si="0"/>
        <v>6500.49</v>
      </c>
      <c r="D6" s="20">
        <f>'DOE25'!L203+'DOE25'!L221+'DOE25'!L239-F6-G6-H6</f>
        <v>2900.49</v>
      </c>
      <c r="E6" s="243"/>
      <c r="F6" s="244"/>
      <c r="G6" s="53">
        <f>'DOE25'!J203+'DOE25'!J221+'DOE25'!J239</f>
        <v>0</v>
      </c>
      <c r="H6" s="53">
        <f>'DOE25'!K203+'DOE25'!K221+'DOE25'!K239</f>
        <v>3600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29461.600000000006</v>
      </c>
      <c r="D8" s="243"/>
      <c r="E8" s="20">
        <f>'DOE25'!L205+'DOE25'!L223+'DOE25'!L241-F8-G8-H8-D9-D11</f>
        <v>27196.820000000007</v>
      </c>
      <c r="F8" s="244"/>
      <c r="G8" s="53">
        <f>'DOE25'!J205+'DOE25'!J223+'DOE25'!J241</f>
        <v>0</v>
      </c>
      <c r="H8" s="53">
        <f>'DOE25'!K205+'DOE25'!K223+'DOE25'!K241</f>
        <v>2264.7800000000002</v>
      </c>
      <c r="I8" s="256"/>
    </row>
    <row r="9" spans="1:9" ht="14.25" x14ac:dyDescent="0.2">
      <c r="A9" s="32">
        <v>2310</v>
      </c>
      <c r="B9" s="185" t="s">
        <v>888</v>
      </c>
      <c r="C9" s="275">
        <f t="shared" si="0"/>
        <v>8662.06</v>
      </c>
      <c r="D9" s="244">
        <v>8662.06</v>
      </c>
      <c r="E9" s="243"/>
      <c r="F9" s="253"/>
      <c r="G9" s="253"/>
      <c r="H9" s="253"/>
      <c r="I9" s="256"/>
    </row>
    <row r="10" spans="1:9" ht="14.25" x14ac:dyDescent="0.2">
      <c r="A10" s="32">
        <v>2317</v>
      </c>
      <c r="B10" s="185" t="s">
        <v>889</v>
      </c>
      <c r="C10" s="275">
        <f t="shared" si="0"/>
        <v>0</v>
      </c>
      <c r="D10" s="243"/>
      <c r="E10" s="244">
        <v>0</v>
      </c>
      <c r="F10" s="253"/>
      <c r="G10" s="253"/>
      <c r="H10" s="253"/>
      <c r="I10" s="256"/>
    </row>
    <row r="11" spans="1:9" ht="14.25" x14ac:dyDescent="0.2">
      <c r="A11" s="32">
        <v>2321</v>
      </c>
      <c r="B11" s="185" t="s">
        <v>890</v>
      </c>
      <c r="C11" s="275">
        <f t="shared" si="0"/>
        <v>8914.4</v>
      </c>
      <c r="D11" s="244">
        <v>8914.4</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47022</v>
      </c>
      <c r="D15" s="20">
        <f>'DOE25'!L209+'DOE25'!L227+'DOE25'!L245-F15-G15-H15</f>
        <v>25000</v>
      </c>
      <c r="E15" s="243"/>
      <c r="F15" s="244">
        <v>22022</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3600</v>
      </c>
      <c r="D31" s="20">
        <f>'DOE25'!L291+'DOE25'!L310+'DOE25'!L329+'DOE25'!L334+'DOE25'!L335+'DOE25'!L336-F31-G31-H31</f>
        <v>0</v>
      </c>
      <c r="E31" s="243"/>
      <c r="F31" s="244"/>
      <c r="G31" s="53">
        <f>'DOE25'!J291+'DOE25'!J310+'DOE25'!J329+'DOE25'!J334+'DOE25'!J335+'DOE25'!J336</f>
        <v>3600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482728.51</v>
      </c>
      <c r="E33" s="245">
        <f t="shared" si="1"/>
        <v>27196.820000000007</v>
      </c>
      <c r="F33" s="245">
        <f t="shared" si="1"/>
        <v>22022</v>
      </c>
      <c r="G33" s="245">
        <f t="shared" si="1"/>
        <v>3600</v>
      </c>
      <c r="H33" s="245">
        <f t="shared" si="1"/>
        <v>5864.7800000000007</v>
      </c>
      <c r="I33" s="245">
        <f t="shared" si="1"/>
        <v>0</v>
      </c>
    </row>
    <row r="35" spans="1:9" ht="12" thickBot="1" x14ac:dyDescent="0.25">
      <c r="B35" s="251" t="s">
        <v>831</v>
      </c>
      <c r="D35" s="252">
        <f>E33</f>
        <v>27196.820000000007</v>
      </c>
      <c r="E35" s="248"/>
      <c r="F35" s="335" t="s">
        <v>1632</v>
      </c>
      <c r="G35" s="336"/>
      <c r="H35" s="336"/>
      <c r="I35" s="336"/>
    </row>
    <row r="36" spans="1:9" ht="12" thickTop="1" x14ac:dyDescent="0.2">
      <c r="B36" t="s">
        <v>810</v>
      </c>
      <c r="D36" s="20">
        <f>D33</f>
        <v>482728.51</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Clarksville School District</v>
      </c>
      <c r="B2" s="126">
        <f>'DOE25'!B2</f>
        <v>103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321292.27</v>
      </c>
      <c r="G4" s="302">
        <f>'DOE25'!L212+'DOE25'!L291</f>
        <v>321292.26999999996</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317692.27</v>
      </c>
      <c r="E5" s="293">
        <v>3600</v>
      </c>
      <c r="F5" s="306">
        <f>D5+E5</f>
        <v>321292.27</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317692.27</v>
      </c>
      <c r="E21" s="353">
        <f>SUM(E5:E20)</f>
        <v>3600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220119.84</v>
      </c>
      <c r="G36" s="302">
        <f>'DOE25'!L248+'DOE25'!L329</f>
        <v>220119.84</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220119.84</v>
      </c>
      <c r="E37" s="293"/>
      <c r="F37" s="306">
        <f t="shared" ref="F37:F42" si="2">D37+E37</f>
        <v>220119.84</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220119.84</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Clarksville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4786.08</v>
      </c>
      <c r="D8" s="95">
        <f>'DOE25'!G9</f>
        <v>0</v>
      </c>
      <c r="E8" s="95">
        <f>'DOE25'!H9</f>
        <v>0</v>
      </c>
      <c r="F8" s="95">
        <f>'DOE25'!I9</f>
        <v>0</v>
      </c>
      <c r="G8" s="95">
        <f>'DOE25'!J9</f>
        <v>86061.83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528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5314.08</v>
      </c>
      <c r="D18" s="41">
        <f>SUM(D8:D17)</f>
        <v>0</v>
      </c>
      <c r="E18" s="41">
        <f>SUM(E8:E17)</f>
        <v>0</v>
      </c>
      <c r="F18" s="41">
        <f>SUM(F8:F17)</f>
        <v>0</v>
      </c>
      <c r="G18" s="41">
        <f>SUM(G8:G17)</f>
        <v>86061.83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3539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3539</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86061.83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1775.0800000000745</v>
      </c>
      <c r="D49" s="24" t="s">
        <v>288</v>
      </c>
      <c r="E49" s="24" t="s">
        <v>288</v>
      </c>
      <c r="F49" s="24" t="s">
        <v>288</v>
      </c>
      <c r="G49" s="24" t="s">
        <v>288</v>
      </c>
      <c r="H49" s="124"/>
      <c r="I49" s="124"/>
    </row>
    <row r="50" spans="1:9" ht="12.75" thickTop="1" thickBot="1" x14ac:dyDescent="0.25">
      <c r="A50" s="38" t="s">
        <v>884</v>
      </c>
      <c r="B50" s="48"/>
      <c r="C50" s="41">
        <f>SUM(C34:C49)</f>
        <v>1775.0800000000745</v>
      </c>
      <c r="D50" s="41">
        <f>SUM(D34:D49)</f>
        <v>0</v>
      </c>
      <c r="E50" s="41">
        <f>SUM(E34:E49)</f>
        <v>0</v>
      </c>
      <c r="F50" s="41">
        <f>SUM(F34:F49)</f>
        <v>0</v>
      </c>
      <c r="G50" s="41">
        <f>SUM(G34:G49)</f>
        <v>86061.83</v>
      </c>
      <c r="H50" s="124"/>
      <c r="I50" s="124"/>
    </row>
    <row r="51" spans="1:9" ht="12" thickTop="1" x14ac:dyDescent="0.2">
      <c r="A51" s="38" t="s">
        <v>885</v>
      </c>
      <c r="B51" s="2"/>
      <c r="C51" s="41">
        <f>C50+C31</f>
        <v>5314.0800000000745</v>
      </c>
      <c r="D51" s="41">
        <f>D50+D31</f>
        <v>0</v>
      </c>
      <c r="E51" s="41">
        <f>E50+E31</f>
        <v>0</v>
      </c>
      <c r="F51" s="41">
        <f>F50+F31</f>
        <v>0</v>
      </c>
      <c r="G51" s="41">
        <f>G50+G31</f>
        <v>86061.83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257015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1631.24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1631.24</v>
      </c>
      <c r="H62"/>
      <c r="I62"/>
    </row>
    <row r="63" spans="1:9" ht="12" thickTop="1" x14ac:dyDescent="0.2">
      <c r="A63" s="29" t="s">
        <v>175</v>
      </c>
      <c r="B63" s="6"/>
      <c r="C63" s="22">
        <f>C56+C62</f>
        <v>257015</v>
      </c>
      <c r="D63" s="22">
        <f>D56+D62</f>
        <v>0</v>
      </c>
      <c r="E63" s="22">
        <f>E56+E62</f>
        <v>0</v>
      </c>
      <c r="F63" s="22">
        <f>F56+F62</f>
        <v>0</v>
      </c>
      <c r="G63" s="22">
        <f>G56+G62</f>
        <v>1631.24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64334.57</v>
      </c>
      <c r="D66" s="24" t="s">
        <v>288</v>
      </c>
      <c r="E66" s="24" t="s">
        <v>288</v>
      </c>
      <c r="F66" s="24" t="s">
        <v>288</v>
      </c>
      <c r="G66" s="24" t="s">
        <v>288</v>
      </c>
      <c r="H66"/>
      <c r="I66"/>
    </row>
    <row r="67" spans="1:9" x14ac:dyDescent="0.2">
      <c r="A67" s="1" t="s">
        <v>770</v>
      </c>
      <c r="B67" s="6">
        <v>3112</v>
      </c>
      <c r="C67" s="95">
        <f>'DOE25'!F118</f>
        <v>94683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159017.57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159017.57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3600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3600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53500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53500</v>
      </c>
      <c r="D103" s="86">
        <f>SUM(D93:D102)</f>
        <v>0</v>
      </c>
      <c r="E103" s="86">
        <f>SUM(E93:E102)</f>
        <v>0</v>
      </c>
      <c r="F103" s="86">
        <f>SUM(F93:F102)</f>
        <v>0</v>
      </c>
      <c r="G103" s="86">
        <f>SUM(G93:G102)</f>
        <v>0</v>
      </c>
    </row>
    <row r="104" spans="1:7" ht="12.75" thickTop="1" thickBot="1" x14ac:dyDescent="0.25">
      <c r="A104" s="33" t="s">
        <v>761</v>
      </c>
      <c r="C104" s="86">
        <f>C63+C81+C91+C103</f>
        <v>469532.57</v>
      </c>
      <c r="D104" s="86">
        <f>D63+D81+D91+D103</f>
        <v>0</v>
      </c>
      <c r="E104" s="86">
        <f>E63+E81+E91+E103</f>
        <v>3600</v>
      </c>
      <c r="F104" s="86">
        <f>F63+F81+F91+F103</f>
        <v>0</v>
      </c>
      <c r="G104" s="86">
        <f>G63+G81+G103</f>
        <v>1631.24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429878.22</v>
      </c>
      <c r="D109" s="24" t="s">
        <v>288</v>
      </c>
      <c r="E109" s="95">
        <f>('DOE25'!L277)+('DOE25'!L296)+('DOE25'!L315)</f>
        <v>3600</v>
      </c>
      <c r="F109" s="24" t="s">
        <v>288</v>
      </c>
      <c r="G109" s="24" t="s">
        <v>288</v>
      </c>
    </row>
    <row r="110" spans="1:7" x14ac:dyDescent="0.2">
      <c r="A110" t="s">
        <v>198</v>
      </c>
      <c r="B110" s="32" t="s">
        <v>199</v>
      </c>
      <c r="C110" s="95">
        <f>('DOE25'!L199)+('DOE25'!L217)+('DOE25'!L235)</f>
        <v>7373.34</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437251.56</v>
      </c>
      <c r="D115" s="86">
        <f>SUM(D109:D114)</f>
        <v>0</v>
      </c>
      <c r="E115" s="86">
        <f>SUM(E109:E114)</f>
        <v>3600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6500.49</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47038.060000000005</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47022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100560.55</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53500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1631.24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-1631.24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53500</v>
      </c>
    </row>
    <row r="145" spans="1:9" ht="12.75" thickTop="1" thickBot="1" x14ac:dyDescent="0.25">
      <c r="A145" s="33" t="s">
        <v>244</v>
      </c>
      <c r="C145" s="86">
        <f>(C115+C128+C144)</f>
        <v>537812.11</v>
      </c>
      <c r="D145" s="86">
        <f>(D115+D128+D144)</f>
        <v>0</v>
      </c>
      <c r="E145" s="86">
        <f>(E115+E128+E144)</f>
        <v>3600</v>
      </c>
      <c r="F145" s="86">
        <f>(F115+F128+F144)</f>
        <v>0</v>
      </c>
      <c r="G145" s="86">
        <f>(G115+G128+G144)</f>
        <v>53500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Clarksville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433478</v>
      </c>
      <c r="D10" s="182">
        <f>ROUND((C10/$C$28)*100,1)</f>
        <v>80.099999999999994</v>
      </c>
    </row>
    <row r="11" spans="1:4" x14ac:dyDescent="0.2">
      <c r="A11">
        <v>1200</v>
      </c>
      <c r="B11" t="s">
        <v>703</v>
      </c>
      <c r="C11" s="179">
        <f>ROUND('DOE25'!L199+'DOE25'!L217+'DOE25'!L235+'DOE25'!L278+'DOE25'!L297+'DOE25'!L316,0)</f>
        <v>7373</v>
      </c>
      <c r="D11" s="182">
        <f>ROUND((C11/$C$28)*100,1)</f>
        <v>1.4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6500</v>
      </c>
      <c r="D15" s="182">
        <f t="shared" ref="D15:D27" si="0">ROUND((C15/$C$28)*100,1)</f>
        <v>1.2</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47038</v>
      </c>
      <c r="D17" s="182">
        <f t="shared" si="0"/>
        <v>8.6999999999999993</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47022</v>
      </c>
      <c r="D21" s="182">
        <f t="shared" si="0"/>
        <v>8.6999999999999993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541411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541411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257015</v>
      </c>
      <c r="D35" s="182">
        <f t="shared" ref="D35:D40" si="1">ROUND((C35/$C$41)*100,1)</f>
        <v>61</v>
      </c>
    </row>
    <row r="36" spans="1:4" x14ac:dyDescent="0.2">
      <c r="B36" s="185" t="s">
        <v>739</v>
      </c>
      <c r="C36" s="179">
        <f>SUM('DOE25'!F112:J112)-SUM('DOE25'!G97:G110)+('DOE25'!F175+'DOE25'!F176+'DOE25'!I175+'DOE25'!I176)-C35</f>
        <v>1631.2399999999907</v>
      </c>
      <c r="D36" s="182">
        <f t="shared" si="1"/>
        <v>0.4</v>
      </c>
    </row>
    <row r="37" spans="1:4" x14ac:dyDescent="0.2">
      <c r="A37" s="183" t="s">
        <v>835</v>
      </c>
      <c r="B37" s="185" t="s">
        <v>728</v>
      </c>
      <c r="C37" s="179">
        <f>ROUND('DOE25'!F117+'DOE25'!F118,0)</f>
        <v>159018</v>
      </c>
      <c r="D37" s="182">
        <f t="shared" si="1"/>
        <v>37.700000000000003</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3600</v>
      </c>
      <c r="D39" s="182">
        <f t="shared" si="1"/>
        <v>0.9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421264.24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Clarksville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2021-08-09T18:51:28Z</cp:lastPrinted>
  <dcterms:created xsi:type="dcterms:W3CDTF">1997-12-04T19:04:30Z</dcterms:created>
  <dcterms:modified xsi:type="dcterms:W3CDTF">2021-09-14T12:49:39Z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