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05" yWindow="-105" windowWidth="23250" windowHeight="1257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 i="1" l="1"/>
  <c r="F473" i="1" l="1"/>
  <c r="F469" i="1"/>
  <c r="H154" i="1"/>
  <c r="G277" i="1"/>
  <c r="G198" i="1"/>
  <c r="H473" i="1"/>
  <c r="H469" i="1"/>
  <c r="H13" i="1"/>
  <c r="F68" i="1" l="1"/>
  <c r="F24" i="1"/>
  <c r="H110" i="1"/>
  <c r="H161" i="1"/>
  <c r="F126" i="1" l="1"/>
  <c r="F65" i="1"/>
  <c r="F6" i="13"/>
  <c r="F8" i="13"/>
  <c r="D9" i="13"/>
  <c r="B37" i="12"/>
  <c r="B39" i="12"/>
  <c r="C19" i="12"/>
  <c r="B19" i="12"/>
  <c r="B20" i="12"/>
  <c r="C10" i="12"/>
  <c r="B10" i="12"/>
  <c r="B12" i="12"/>
  <c r="F110" i="1"/>
  <c r="F109" i="1"/>
  <c r="H529" i="1"/>
  <c r="H527" i="1"/>
  <c r="G524" i="1"/>
  <c r="F524" i="1"/>
  <c r="H542" i="1"/>
  <c r="G542" i="1"/>
  <c r="K527" i="1"/>
  <c r="I527" i="1"/>
  <c r="G527" i="1"/>
  <c r="F527" i="1"/>
  <c r="I522" i="1"/>
  <c r="H522" i="1"/>
  <c r="G522" i="1"/>
  <c r="F522" i="1"/>
  <c r="J605" i="1"/>
  <c r="F28" i="1" l="1"/>
  <c r="G469" i="1"/>
  <c r="G158" i="1"/>
  <c r="G132" i="1"/>
  <c r="G48" i="1"/>
  <c r="H206" i="1" l="1"/>
  <c r="H245" i="1" l="1"/>
  <c r="H244" i="1"/>
  <c r="H241" i="1"/>
  <c r="H237" i="1"/>
  <c r="H234" i="1"/>
  <c r="H209" i="1"/>
  <c r="H208" i="1"/>
  <c r="H205" i="1"/>
  <c r="H204" i="1"/>
  <c r="H199" i="1"/>
  <c r="H198" i="1"/>
  <c r="I320" i="1"/>
  <c r="I282" i="1"/>
  <c r="H283" i="1"/>
  <c r="H155" i="1"/>
  <c r="H159" i="1"/>
  <c r="G470" i="1"/>
  <c r="F359" i="1"/>
  <c r="I361" i="1"/>
  <c r="I359" i="1"/>
  <c r="H361" i="1"/>
  <c r="H359" i="1"/>
  <c r="G359" i="1"/>
  <c r="G24" i="1"/>
  <c r="G440" i="1"/>
  <c r="H401" i="1"/>
  <c r="H397" i="1"/>
  <c r="J469"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1"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G655" i="1"/>
  <c r="H655" i="1"/>
  <c r="H656" i="1"/>
  <c r="J656" i="1" s="1"/>
  <c r="G62" i="2"/>
  <c r="I170" i="1"/>
  <c r="H663" i="1" l="1"/>
  <c r="C119" i="2"/>
  <c r="C12" i="10"/>
  <c r="C112" i="2"/>
  <c r="C110" i="2"/>
  <c r="D6" i="13"/>
  <c r="C6" i="13" s="1"/>
  <c r="C13" i="10"/>
  <c r="J258" i="1"/>
  <c r="J272" i="1" s="1"/>
  <c r="K339" i="1"/>
  <c r="K353" i="1" s="1"/>
  <c r="E120" i="2"/>
  <c r="E112" i="2"/>
  <c r="H477" i="1"/>
  <c r="H625" i="1" s="1"/>
  <c r="J625" i="1" s="1"/>
  <c r="G662" i="1"/>
  <c r="H409" i="1"/>
  <c r="H645" i="1" s="1"/>
  <c r="J645" i="1" s="1"/>
  <c r="J652" i="1"/>
  <c r="C85" i="2"/>
  <c r="J140" i="1"/>
  <c r="E123" i="2"/>
  <c r="E110" i="2"/>
  <c r="D18" i="13"/>
  <c r="C18" i="13" s="1"/>
  <c r="D15" i="13"/>
  <c r="C15" i="13" s="1"/>
  <c r="C121" i="2"/>
  <c r="C120" i="2"/>
  <c r="J572" i="1"/>
  <c r="G409" i="1"/>
  <c r="H646" i="1" s="1"/>
  <c r="D50" i="2"/>
  <c r="G553" i="1"/>
  <c r="A40" i="12"/>
  <c r="E119" i="2"/>
  <c r="G339" i="1"/>
  <c r="G353"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81" i="2" l="1"/>
  <c r="I663" i="1"/>
  <c r="E128" i="2"/>
  <c r="E145" i="2" s="1"/>
  <c r="F661" i="1"/>
  <c r="F665" i="1" s="1"/>
  <c r="F668" i="1" s="1"/>
  <c r="H649" i="1"/>
  <c r="J649" i="1" s="1"/>
  <c r="F194" i="1"/>
  <c r="G628" i="1" s="1"/>
  <c r="J628" i="1" s="1"/>
  <c r="H661" i="1"/>
  <c r="H665" i="1" s="1"/>
  <c r="H668" i="1" s="1"/>
  <c r="H194" i="1"/>
  <c r="G630" i="1" s="1"/>
  <c r="J630" i="1" s="1"/>
  <c r="D51" i="2"/>
  <c r="E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<sst xmlns="http://schemas.openxmlformats.org/spreadsheetml/2006/main" count="5572" uniqueCount="1673">
  <si>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</si>
  <si>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</si>
  <si>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</si>
  <si>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</si>
  <si>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</si>
  <si>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</si>
  <si>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</si>
  <si>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</si>
  <si>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</si>
  <si>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</si>
  <si>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</si>
  <si>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</si>
  <si>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</si>
  <si>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</si>
  <si>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</si>
  <si>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</si>
  <si>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</si>
  <si>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</si>
  <si>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</si>
  <si>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</si>
  <si>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</si>
  <si>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</si>
  <si>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</si>
  <si>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</si>
  <si>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</si>
  <si>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</si>
  <si>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</si>
  <si>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</si>
  <si>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</si>
  <si>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</si>
  <si>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</si>
  <si>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</si>
  <si>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</si>
  <si>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</si>
  <si>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</si>
  <si>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</si>
  <si>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</si>
  <si>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</si>
  <si>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</si>
  <si>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</si>
  <si>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</si>
  <si>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</si>
  <si>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</si>
  <si>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</si>
  <si>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</si>
  <si>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</si>
  <si>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</si>
  <si>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</si>
  <si>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</si>
  <si>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</si>
  <si>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</si>
  <si>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</si>
  <si>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</si>
  <si>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</si>
  <si>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</si>
  <si>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</si>
  <si>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</si>
  <si>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</si>
  <si>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</si>
  <si>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</si>
  <si>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</si>
  <si>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</si>
  <si>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</si>
  <si>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</si>
  <si>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</si>
  <si>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</si>
  <si>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</si>
  <si>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</si>
  <si>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</si>
  <si>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</si>
  <si>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</si>
  <si>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</si>
  <si>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</si>
  <si>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</si>
  <si>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</si>
  <si>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</si>
  <si>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</si>
  <si>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</si>
  <si>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</si>
  <si>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</si>
  <si>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</si>
  <si>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</si>
  <si>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</si>
  <si>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</si>
  <si>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</si>
  <si>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</si>
  <si>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</si>
  <si>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</si>
  <si>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</si>
  <si>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</si>
  <si>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</si>
  <si>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</si>
  <si>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</si>
  <si>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</si>
  <si>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</si>
  <si>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</si>
  <si>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</si>
  <si>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</si>
  <si>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</si>
  <si>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</si>
  <si>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</si>
  <si>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</si>
  <si>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</si>
  <si>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</si>
  <si>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</si>
  <si>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</si>
  <si>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</si>
  <si>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</si>
  <si>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</si>
  <si>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</si>
  <si>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</si>
  <si>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</si>
  <si>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</si>
  <si>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</si>
  <si>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</si>
  <si>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</si>
  <si>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</si>
  <si>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</si>
  <si>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</si>
  <si>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</si>
  <si>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</si>
  <si>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</si>
  <si>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</si>
  <si>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</si>
  <si>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</si>
  <si>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</si>
  <si>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</si>
  <si>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</si>
  <si>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</si>
  <si>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</si>
  <si>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</si>
  <si>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</si>
  <si>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</si>
  <si>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</si>
  <si>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</si>
  <si>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</si>
  <si>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</si>
  <si>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</si>
  <si>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</si>
  <si>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</si>
  <si>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</si>
  <si>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</si>
  <si>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</si>
  <si>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</si>
  <si>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</si>
  <si>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</si>
  <si>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</si>
  <si>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</si>
  <si>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</si>
  <si>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</si>
  <si>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</si>
  <si>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</si>
  <si>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</si>
  <si>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</si>
  <si>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</si>
  <si>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</si>
  <si>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</si>
  <si>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</si>
  <si>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</si>
  <si>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</si>
  <si>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</si>
  <si>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</si>
  <si>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</si>
  <si>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</si>
  <si>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</si>
  <si>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</si>
  <si>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</si>
  <si>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</si>
  <si>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</si>
  <si>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</si>
  <si>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</si>
  <si>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</si>
  <si>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</si>
  <si>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</si>
  <si>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</si>
  <si>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</si>
  <si>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</si>
  <si>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</si>
  <si>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</si>
  <si>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</si>
  <si>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</si>
  <si>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</si>
  <si>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</si>
  <si>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</si>
  <si>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</si>
  <si>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</si>
  <si>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</si>
  <si>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</si>
  <si>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</si>
  <si>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</si>
  <si>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</si>
  <si>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</si>
  <si>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</si>
  <si>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</si>
  <si>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</si>
  <si>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</si>
  <si>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</si>
  <si>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</si>
  <si>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</si>
  <si>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</si>
  <si>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</si>
  <si>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</si>
  <si>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</si>
  <si>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</si>
  <si>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</si>
  <si>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</si>
  <si>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</si>
  <si>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</si>
  <si>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</si>
  <si>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</si>
  <si>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</si>
  <si>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</si>
  <si>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</si>
  <si>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</si>
  <si>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</si>
  <si>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</si>
  <si>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</si>
  <si>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</si>
  <si>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</si>
  <si>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</si>
  <si>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</si>
  <si>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</si>
  <si>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</si>
  <si>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</si>
  <si>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</si>
  <si>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</si>
  <si>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</si>
  <si>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</si>
  <si>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</si>
  <si>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</si>
  <si>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</si>
  <si>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</si>
  <si>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</si>
  <si>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</si>
  <si>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</si>
  <si>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</si>
  <si>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</si>
  <si>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</si>
  <si>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</si>
  <si>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</si>
  <si>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</si>
  <si>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</si>
  <si>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</si>
  <si>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</si>
  <si>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</si>
  <si>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</si>
  <si>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</si>
  <si>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</si>
  <si>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</si>
  <si>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</si>
  <si>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</si>
  <si>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</si>
  <si>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</si>
  <si>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</si>
  <si>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</si>
  <si>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</si>
  <si>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</si>
  <si>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</si>
  <si>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</si>
  <si>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</si>
  <si>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</si>
  <si>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</si>
  <si>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</si>
  <si>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</si>
  <si>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</si>
  <si>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</si>
  <si>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</si>
  <si>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</si>
  <si>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</si>
  <si>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</si>
  <si>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</si>
  <si>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</si>
  <si>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</si>
  <si>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</si>
  <si>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</si>
  <si>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</si>
  <si>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</si>
  <si>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</si>
  <si>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</si>
  <si>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</si>
  <si>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</si>
  <si>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</si>
  <si>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</si>
  <si>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</si>
  <si>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</si>
  <si>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</si>
  <si>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</si>
  <si>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</si>
  <si>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</si>
  <si>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</si>
  <si>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</si>
  <si>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</si>
  <si>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</si>
  <si>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</si>
  <si>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</si>
  <si>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</si>
  <si>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</si>
  <si>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</si>
  <si>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</si>
  <si>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</si>
  <si>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</si>
  <si>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</si>
  <si>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</si>
  <si>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</si>
  <si>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</si>
  <si>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</si>
  <si>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</si>
  <si>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</si>
  <si>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</si>
  <si>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</si>
  <si>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</si>
  <si>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</si>
  <si>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</si>
  <si>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</si>
  <si>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</si>
  <si>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</si>
  <si>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</si>
  <si>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</si>
  <si>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</si>
  <si>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</si>
  <si>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</si>
  <si>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</si>
  <si>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</si>
  <si>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</si>
  <si>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</si>
  <si>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</si>
  <si>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</si>
  <si>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</si>
  <si>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</si>
  <si>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</si>
  <si>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</si>
  <si>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</si>
  <si>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</si>
  <si>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</si>
  <si>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</si>
  <si>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</si>
  <si>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</si>
  <si>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</si>
  <si>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</si>
  <si>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</si>
  <si>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</si>
  <si>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</si>
  <si>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</si>
  <si>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</si>
  <si>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</si>
  <si>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</si>
  <si>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</si>
  <si>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</si>
  <si>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</si>
  <si>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</si>
  <si>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</si>
  <si>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</si>
  <si>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</si>
  <si>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</si>
  <si>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</si>
  <si>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</si>
  <si>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</si>
  <si>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</si>
  <si>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</si>
  <si>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</si>
  <si>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</si>
  <si>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</si>
  <si>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</si>
  <si>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</si>
  <si>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</si>
  <si>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</si>
  <si>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</si>
  <si>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</si>
  <si>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</si>
  <si>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</si>
  <si>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</si>
  <si>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</si>
  <si>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</si>
  <si>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</si>
  <si>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</si>
  <si>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</si>
  <si>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</si>
  <si>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</si>
  <si>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</si>
  <si>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</si>
  <si>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</si>
  <si>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</si>
  <si>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</si>
  <si>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</si>
  <si>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</si>
  <si>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</si>
  <si>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</si>
  <si>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</si>
  <si>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</si>
  <si>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</si>
  <si>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</si>
  <si>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</si>
  <si>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</si>
  <si>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</si>
  <si>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</si>
  <si>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</si>
  <si>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</si>
  <si>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</si>
  <si>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</si>
  <si>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</si>
  <si>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</si>
  <si>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</si>
  <si>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</si>
  <si>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</si>
  <si>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</si>
  <si>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</si>
  <si>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</si>
  <si>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</si>
  <si>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</si>
  <si>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</si>
  <si>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</si>
  <si>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</si>
  <si>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</si>
  <si>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</si>
  <si>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</si>
  <si>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</si>
  <si>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</si>
  <si>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</si>
  <si>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</si>
  <si>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</si>
  <si>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</si>
  <si>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</si>
  <si>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</si>
  <si>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</si>
  <si>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</si>
  <si>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</si>
  <si>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</si>
  <si>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</si>
  <si>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</si>
  <si>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</si>
  <si>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</si>
  <si>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</si>
  <si>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</si>
  <si>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</si>
  <si>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</si>
  <si>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</si>
  <si>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</si>
  <si>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</si>
  <si>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</si>
  <si>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</si>
  <si>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</si>
  <si>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</si>
  <si>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</si>
  <si>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</si>
  <si>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</si>
  <si>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</si>
  <si>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</si>
  <si>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</si>
  <si>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</si>
  <si>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</si>
  <si>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</si>
  <si>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</si>
  <si>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</si>
  <si>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</si>
  <si>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</si>
  <si>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</si>
  <si>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</si>
  <si>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</si>
  <si>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</si>
  <si>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</si>
  <si>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</si>
  <si>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</si>
  <si>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</si>
  <si>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</si>
  <si>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</si>
  <si>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</si>
  <si>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</si>
  <si>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</si>
  <si>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</si>
  <si>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</si>
  <si>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</si>
  <si>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</si>
  <si>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</si>
  <si>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</si>
  <si>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</si>
  <si>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</si>
  <si>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</si>
  <si>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</si>
  <si>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</si>
  <si>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</si>
  <si>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</si>
  <si>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</si>
  <si>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</si>
  <si>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</si>
  <si>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</si>
  <si>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</si>
  <si>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</si>
  <si>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</si>
  <si>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</si>
  <si>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</si>
  <si>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</si>
  <si>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</si>
  <si>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</si>
  <si>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</si>
  <si>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</si>
  <si>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</si>
  <si>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</si>
  <si>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</si>
  <si>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</si>
  <si>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</si>
  <si>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</si>
  <si>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</si>
  <si>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</si>
  <si>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</si>
  <si>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</si>
  <si>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</si>
  <si>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</si>
  <si>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</si>
  <si>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</si>
  <si>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</si>
  <si>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</si>
  <si>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</si>
  <si>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</si>
  <si>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</si>
  <si>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</si>
  <si>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</si>
  <si>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</si>
  <si>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</si>
  <si>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</si>
  <si>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</si>
  <si>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</si>
  <si>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</si>
  <si>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</si>
  <si>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</si>
  <si>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</si>
  <si>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</si>
  <si>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</si>
  <si>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</si>
  <si>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</si>
  <si>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</si>
  <si>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</si>
  <si>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</si>
  <si>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</si>
  <si>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</si>
  <si>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</si>
  <si>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</si>
  <si>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</si>
  <si>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</si>
  <si>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</si>
  <si>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</si>
  <si>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</si>
  <si>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</si>
  <si>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</si>
  <si>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</si>
  <si>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</si>
  <si>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</si>
  <si>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</si>
  <si>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</si>
  <si>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</si>
  <si>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</si>
  <si>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</si>
  <si>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</si>
  <si>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</si>
  <si>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</si>
  <si>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</si>
  <si>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</si>
  <si>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</si>
  <si>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</si>
  <si>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</si>
  <si>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</si>
  <si>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</si>
  <si>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</si>
  <si>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</si>
  <si>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</si>
  <si>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</si>
  <si>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</si>
  <si>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</si>
  <si>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</si>
  <si>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</si>
  <si>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</si>
  <si>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</si>
  <si>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</si>
  <si>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</si>
  <si>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</si>
  <si>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</si>
  <si>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</si>
  <si>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</si>
  <si>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</si>
  <si>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</si>
  <si>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</si>
  <si>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</si>
  <si>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</si>
  <si>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</si>
  <si>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</si>
  <si>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</si>
  <si>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</si>
  <si>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</si>
  <si>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</si>
  <si>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</si>
  <si>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</si>
  <si>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</si>
  <si>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</si>
  <si>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</si>
  <si>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</si>
  <si>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</si>
  <si>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</si>
  <si>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</si>
  <si>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</si>
  <si>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</si>
  <si>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</si>
  <si>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</si>
  <si>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</si>
  <si>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</si>
  <si>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</si>
  <si>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</si>
  <si>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</si>
  <si>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</si>
  <si>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</si>
  <si>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</si>
  <si>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</si>
  <si>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</si>
  <si>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</si>
  <si>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</si>
  <si>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</si>
  <si>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</si>
  <si>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</si>
  <si>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</si>
  <si>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</si>
  <si>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</si>
  <si>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</si>
  <si>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</si>
  <si>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</si>
  <si>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</si>
  <si>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</si>
  <si>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</si>
  <si>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</si>
  <si>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</si>
  <si>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</si>
  <si>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</si>
  <si>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</si>
  <si>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</si>
  <si>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</si>
  <si>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</si>
  <si>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</si>
  <si>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</si>
  <si>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</si>
  <si>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</si>
  <si>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</si>
  <si>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</si>
  <si>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</si>
  <si>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</si>
  <si>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</si>
  <si>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</si>
  <si>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</si>
  <si>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</si>
  <si>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</si>
  <si>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</si>
  <si>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</si>
  <si>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</si>
  <si>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</si>
  <si>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</si>
  <si>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</si>
  <si>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</si>
  <si>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</si>
  <si>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</si>
  <si>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</si>
  <si>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</si>
  <si>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</si>
  <si>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</si>
  <si>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</si>
  <si>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</si>
  <si>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</si>
  <si>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</si>
  <si>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</si>
  <si>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</si>
  <si>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</si>
  <si>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</si>
  <si>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</si>
  <si>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</si>
  <si>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</si>
  <si>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</si>
  <si>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</si>
  <si>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</si>
  <si>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</si>
  <si>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</si>
  <si>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</si>
  <si>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</si>
  <si>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</si>
  <si>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</si>
  <si>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</si>
  <si>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</si>
  <si>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</si>
  <si>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</si>
  <si>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</si>
  <si>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</si>
  <si>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</si>
  <si>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</si>
  <si>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</si>
  <si>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</si>
  <si>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</si>
  <si>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</si>
  <si>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</si>
  <si>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</si>
  <si>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</si>
  <si>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</si>
  <si>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</si>
  <si>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</si>
  <si>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</si>
  <si>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</si>
  <si>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</si>
  <si>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</si>
  <si>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</si>
  <si>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</si>
  <si>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</si>
  <si>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</si>
  <si>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</si>
  <si>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</si>
  <si>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</si>
  <si>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</si>
  <si>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</si>
  <si>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</si>
  <si>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</si>
  <si>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</si>
  <si>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</si>
  <si>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</si>
  <si>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</si>
  <si>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</si>
  <si>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</si>
  <si>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</si>
  <si>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</si>
  <si>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</si>
  <si>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</si>
  <si>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</si>
  <si>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</si>
  <si>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</si>
  <si>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</si>
  <si>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</si>
  <si>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</si>
  <si>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</si>
  <si>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</si>
  <si>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</si>
  <si>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</si>
  <si>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</si>
  <si>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</si>
  <si>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</si>
  <si>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</si>
  <si>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</si>
  <si>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</si>
  <si>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</si>
  <si>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</si>
  <si>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</si>
  <si>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</si>
  <si>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</si>
  <si>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</si>
  <si>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</si>
  <si>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</si>
  <si>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</si>
  <si>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</si>
  <si>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</si>
  <si>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</si>
  <si>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</si>
  <si>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</si>
  <si>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</si>
  <si>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</si>
  <si>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</si>
  <si>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</si>
  <si>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</si>
  <si>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</si>
  <si>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</si>
  <si>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</si>
  <si>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</si>
  <si>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</si>
  <si>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</si>
  <si>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</si>
  <si>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</si>
  <si>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</si>
  <si>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</si>
  <si>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</si>
  <si>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</si>
  <si>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</si>
  <si>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</si>
  <si>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</si>
  <si>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</si>
  <si>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</si>
  <si>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</si>
  <si>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</si>
  <si>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</si>
  <si>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</si>
  <si>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</si>
  <si>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</si>
  <si>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</si>
  <si>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</si>
  <si>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</si>
  <si>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</si>
  <si>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</si>
  <si>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</si>
  <si>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</si>
  <si>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</si>
  <si>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</si>
  <si>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</si>
  <si>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</si>
  <si>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</si>
  <si>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</si>
  <si>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</si>
  <si>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</si>
  <si>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</si>
  <si>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</si>
  <si>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</si>
  <si>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</si>
  <si>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</si>
  <si>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</si>
  <si>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</si>
  <si>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</si>
  <si>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</si>
  <si>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</si>
  <si>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</si>
  <si>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</si>
  <si>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</si>
  <si>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</si>
  <si>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</si>
  <si>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</si>
  <si>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</si>
  <si>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</si>
  <si>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</si>
  <si>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</si>
  <si>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</si>
  <si>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</si>
  <si>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</si>
  <si>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</si>
  <si>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</si>
  <si>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</si>
  <si>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</si>
  <si>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</si>
  <si>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</si>
  <si>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</si>
  <si>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</si>
  <si>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</si>
  <si>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</si>
  <si>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</si>
  <si>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</si>
  <si>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</si>
  <si>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</si>
  <si>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</si>
  <si>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</si>
  <si>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</si>
  <si>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</si>
  <si>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</si>
  <si>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</si>
  <si>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</si>
  <si>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</si>
  <si>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</si>
  <si>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</si>
  <si>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</si>
  <si>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</si>
  <si>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</si>
  <si>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</si>
  <si>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</si>
  <si>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</si>
  <si>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</si>
  <si>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</si>
  <si>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</si>
  <si>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</si>
  <si>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</si>
  <si>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</si>
  <si>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</si>
  <si>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</si>
  <si>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</si>
  <si>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</si>
  <si>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</si>
  <si>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</si>
  <si>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</si>
  <si>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</si>
  <si>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</si>
  <si>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</si>
  <si>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</si>
  <si>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</si>
  <si>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</si>
  <si>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</si>
  <si>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</si>
  <si>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</si>
  <si>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</si>
  <si>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</si>
  <si>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</si>
  <si>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</si>
  <si>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</si>
  <si>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</si>
  <si>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</si>
  <si>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</si>
  <si>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</si>
  <si>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</si>
  <si>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</si>
  <si>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</si>
  <si>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</si>
  <si>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</si>
  <si>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</si>
  <si>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</si>
  <si>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</si>
  <si>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</si>
  <si>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</si>
  <si>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</si>
  <si>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</si>
  <si>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</si>
  <si>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</si>
  <si>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</si>
  <si>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</si>
  <si>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</si>
  <si>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</si>
  <si>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</si>
  <si>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</si>
  <si>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</si>
  <si>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</si>
  <si>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</si>
  <si>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</si>
  <si>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</si>
  <si>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</si>
  <si>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</si>
  <si>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</si>
  <si>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</si>
  <si>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</si>
  <si>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</si>
  <si>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</si>
  <si>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</si>
  <si>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</si>
  <si>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</si>
  <si>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</si>
  <si>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</si>
  <si>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</si>
  <si>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</si>
  <si>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</si>
  <si>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</si>
  <si>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</si>
  <si>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</si>
  <si>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</si>
  <si>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</si>
  <si>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</si>
  <si>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</si>
  <si>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</si>
  <si>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</si>
  <si>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</si>
  <si>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</si>
  <si>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</si>
  <si>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</si>
  <si>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</si>
  <si>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</si>
  <si>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</si>
  <si>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</si>
  <si>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</si>
  <si>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</si>
  <si>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</si>
  <si>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</si>
  <si>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</si>
  <si>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</si>
  <si>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</si>
  <si>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</si>
  <si>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</si>
  <si>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</si>
  <si>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</si>
  <si>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</si>
  <si>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</si>
  <si>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</si>
  <si>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</si>
  <si>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</si>
  <si>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</si>
  <si>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</si>
  <si>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</si>
  <si>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</si>
  <si>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</si>
  <si>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</si>
  <si>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</si>
  <si>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</si>
  <si>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</si>
  <si>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</si>
  <si>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</si>
  <si>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</si>
  <si>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</si>
  <si>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</si>
  <si>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</si>
  <si>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</si>
  <si>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</si>
  <si>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</si>
  <si>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</si>
  <si>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</si>
  <si>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</si>
  <si>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</si>
  <si>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</si>
  <si>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</si>
  <si>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</si>
  <si>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</si>
  <si>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</si>
  <si>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</si>
  <si>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</si>
  <si>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</si>
  <si>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</si>
  <si>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</si>
  <si>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</si>
  <si>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</si>
  <si>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</si>
  <si>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</si>
  <si>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</si>
  <si>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</si>
  <si>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</si>
  <si>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</si>
  <si>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</si>
  <si>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</si>
  <si>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</si>
  <si>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</si>
  <si>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</si>
  <si>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</si>
  <si>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</si>
  <si>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</si>
  <si>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</si>
  <si>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</si>
  <si>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</si>
  <si>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</si>
  <si>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</si>
  <si>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</si>
  <si>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</si>
  <si>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</si>
  <si>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</si>
  <si>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</si>
  <si>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</si>
  <si>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</si>
  <si>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</si>
  <si>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</si>
  <si>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</si>
  <si>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</si>
  <si>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</si>
  <si>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</si>
  <si>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</si>
  <si>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</si>
  <si>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</si>
  <si>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</si>
  <si>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</si>
  <si>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</si>
  <si>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</si>
  <si>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</si>
  <si>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</si>
  <si>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</si>
  <si>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</si>
  <si>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</si>
  <si>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</si>
  <si>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</si>
  <si>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</si>
  <si>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</si>
  <si>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</si>
  <si>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</si>
  <si>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</si>
  <si>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</si>
  <si>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</si>
  <si>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</si>
  <si>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</si>
  <si>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</si>
  <si>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</si>
  <si>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</si>
  <si>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</si>
  <si>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</si>
  <si>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</si>
  <si>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</si>
  <si>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</si>
  <si>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</si>
  <si>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</si>
  <si>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</si>
  <si>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</si>
  <si>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</si>
  <si>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</si>
  <si>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</si>
  <si>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</si>
  <si>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</si>
  <si>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</si>
  <si>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</si>
  <si>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</si>
  <si>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</si>
  <si>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</si>
  <si>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</si>
  <si>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</si>
  <si>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</si>
  <si>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</si>
  <si>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</si>
  <si>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</si>
  <si>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</si>
  <si>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</si>
  <si>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</si>
  <si>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</si>
  <si>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</si>
  <si>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</si>
  <si>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</si>
  <si>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</si>
  <si>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</si>
  <si>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</si>
  <si>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</si>
  <si>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</si>
  <si>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</si>
  <si>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</si>
  <si>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</si>
  <si>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</si>
  <si>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</si>
  <si>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</si>
  <si>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</si>
  <si>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</si>
  <si>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</si>
  <si>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</si>
  <si>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</si>
  <si>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</si>
  <si>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</si>
  <si>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</si>
  <si>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</si>
  <si>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</si>
  <si>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</si>
  <si>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</si>
  <si>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</si>
  <si>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</si>
  <si>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</si>
  <si>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</si>
  <si>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</si>
  <si>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</si>
  <si>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</si>
  <si>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</si>
  <si>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</si>
  <si>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</si>
  <si>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</si>
  <si>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</si>
  <si>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</si>
  <si>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</si>
  <si>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</si>
  <si>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</si>
  <si>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</si>
  <si>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</si>
  <si>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</si>
  <si>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</si>
  <si>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</si>
  <si>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</si>
  <si>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</si>
  <si>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</si>
  <si>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</si>
  <si>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</si>
  <si>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</si>
  <si>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</si>
  <si>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</si>
  <si>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</si>
  <si>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</si>
  <si>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</si>
  <si>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</si>
  <si>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</si>
  <si>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</si>
  <si>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</si>
  <si>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</si>
  <si>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</si>
  <si>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</si>
  <si>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</si>
  <si>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</si>
  <si>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</si>
  <si>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</si>
  <si>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</si>
  <si>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</si>
  <si>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</si>
  <si>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</si>
  <si>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</si>
  <si>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</si>
  <si>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</si>
  <si>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</si>
  <si>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</si>
  <si>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</si>
  <si>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</si>
  <si>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</si>
  <si>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</si>
  <si>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</si>
  <si>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</si>
  <si>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</si>
  <si>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</si>
  <si>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</si>
  <si>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</si>
  <si>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</si>
  <si>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</si>
  <si>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</si>
  <si>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</si>
  <si>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</si>
  <si>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</si>
  <si>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</si>
  <si>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</si>
  <si>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</si>
  <si>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</si>
  <si>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</si>
  <si>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</si>
  <si>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</si>
  <si>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</si>
  <si>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</si>
  <si>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</si>
  <si>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</si>
  <si>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</si>
  <si>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</si>
  <si>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</si>
  <si>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</si>
  <si>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</si>
  <si>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</si>
  <si>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</si>
  <si>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</si>
  <si>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</si>
  <si>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</si>
  <si>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</si>
  <si>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</si>
  <si>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</si>
  <si>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</si>
  <si>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</si>
  <si>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</si>
  <si>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</si>
  <si>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</si>
  <si>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</si>
  <si>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</si>
  <si>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</si>
  <si>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</si>
  <si>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</si>
  <si>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</si>
  <si>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</si>
  <si>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</si>
  <si>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</si>
  <si>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</si>
  <si>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</si>
  <si>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</si>
  <si>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</si>
  <si>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</si>
  <si>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</si>
  <si>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</si>
  <si>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</si>
  <si>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</si>
  <si>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</si>
  <si>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</si>
  <si>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</si>
  <si>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</si>
  <si>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</si>
  <si>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</si>
  <si>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</si>
  <si>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</si>
  <si>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</si>
  <si>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</si>
  <si>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</si>
  <si>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</si>
  <si>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</si>
  <si>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</si>
  <si>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</si>
  <si>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</si>
  <si>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</si>
  <si>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</si>
  <si>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</si>
  <si>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</si>
  <si>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</si>
  <si>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</si>
  <si>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</si>
  <si>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</si>
  <si>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</si>
  <si>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</si>
  <si>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</si>
  <si>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</si>
  <si>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</si>
  <si>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</si>
  <si>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</si>
  <si>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</si>
  <si>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</si>
  <si>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</si>
  <si>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</si>
  <si>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</si>
  <si>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</si>
  <si>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</si>
  <si>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</si>
  <si>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</si>
  <si>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</si>
  <si>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</si>
  <si>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</si>
  <si>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</si>
  <si>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</si>
  <si>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</si>
  <si>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</si>
  <si>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</si>
  <si>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</si>
  <si>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</si>
  <si>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</si>
  <si>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</si>
  <si>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</si>
  <si>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</si>
  <si>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</si>
  <si>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</si>
  <si>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</si>
  <si>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</si>
  <si>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</si>
  <si>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</si>
  <si>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</si>
  <si>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</si>
  <si>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</si>
  <si>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</si>
  <si>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</si>
  <si>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</si>
  <si>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</si>
  <si>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</si>
  <si>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</si>
  <si>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</si>
  <si>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</si>
  <si>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</si>
  <si>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</si>
  <si>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</si>
  <si>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</si>
  <si>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</si>
  <si>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</si>
  <si>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</si>
  <si>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</si>
  <si>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</si>
  <si>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</si>
  <si>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</si>
  <si>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</si>
  <si>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</si>
  <si>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</si>
  <si>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</si>
  <si>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</si>
  <si>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</si>
  <si>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</si>
  <si>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</si>
  <si>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</si>
  <si>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</si>
  <si>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</si>
  <si>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</si>
  <si>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</si>
  <si>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</si>
  <si>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</si>
  <si>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</si>
  <si>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</si>
  <si>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</si>
  <si>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</si>
  <si>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</si>
  <si>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</si>
  <si>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</si>
  <si>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</si>
  <si>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</si>
  <si>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</si>
  <si>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</si>
  <si>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</si>
  <si>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</si>
  <si>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</si>
  <si>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</si>
  <si>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</si>
  <si>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</si>
  <si>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</si>
  <si>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</si>
  <si>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</si>
  <si>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</si>
  <si>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</si>
  <si>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</si>
  <si>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</si>
  <si>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</si>
  <si>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</si>
  <si>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</si>
  <si>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</si>
  <si>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</si>
  <si>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</si>
  <si>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</si>
  <si>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</si>
  <si>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</si>
  <si>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</si>
  <si>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</si>
  <si>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</si>
  <si>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</si>
  <si>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</si>
  <si>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</si>
  <si>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</si>
  <si>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</si>
  <si>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</si>
  <si>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</si>
  <si>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</si>
  <si>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</si>
  <si>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</si>
  <si>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</si>
  <si>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</si>
  <si>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</si>
  <si>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</si>
  <si>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</si>
  <si>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</si>
  <si>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</si>
  <si>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</si>
  <si>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</si>
  <si>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</si>
  <si>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</si>
  <si>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</si>
  <si>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</si>
  <si>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</si>
  <si>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</si>
  <si>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</si>
  <si>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</si>
  <si>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</si>
  <si>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</si>
  <si>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</si>
  <si>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</si>
  <si>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</si>
  <si>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</si>
  <si>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</si>
  <si>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</si>
  <si>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</si>
  <si>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</si>
  <si>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</si>
  <si>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</si>
  <si>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</si>
  <si>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</si>
  <si>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</si>
  <si>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</si>
  <si>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</si>
  <si>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</si>
  <si>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</si>
  <si>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</si>
  <si>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</si>
  <si>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</si>
  <si>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</si>
  <si>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</si>
  <si>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</si>
  <si>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</si>
  <si>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</si>
  <si>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</si>
  <si>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</si>
  <si>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</si>
  <si>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</si>
  <si>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</si>
  <si>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</si>
  <si>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</si>
  <si>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</si>
  <si>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</si>
  <si>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</si>
  <si>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</si>
  <si>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</si>
  <si>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</si>
  <si>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</si>
  <si>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</si>
  <si>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</si>
  <si>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</si>
  <si>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</si>
  <si>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</si>
  <si>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</si>
  <si>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</si>
  <si>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</si>
  <si>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</si>
  <si>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</si>
  <si>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</si>
  <si>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</si>
  <si>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</si>
  <si>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</si>
  <si>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</si>
  <si>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</si>
  <si>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</si>
  <si>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</si>
  <si>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</si>
  <si>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</si>
  <si>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</si>
  <si>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</si>
  <si>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</si>
  <si>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</si>
  <si>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</si>
  <si>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</si>
  <si>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</si>
  <si>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</si>
  <si>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</si>
  <si>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</si>
  <si>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</si>
  <si>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</si>
  <si>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</si>
  <si>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</si>
  <si>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</si>
  <si>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</si>
  <si>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</si>
  <si>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</si>
  <si>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</si>
  <si>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</si>
  <si>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</si>
  <si>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</si>
  <si>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</si>
  <si>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</si>
  <si>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</si>
  <si>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</si>
  <si>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</si>
  <si>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</si>
  <si>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</si>
  <si>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</si>
  <si>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</si>
  <si>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</si>
  <si>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</si>
  <si>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</si>
  <si>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</si>
  <si>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</si>
  <si>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</si>
  <si>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</si>
  <si>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</si>
  <si>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</si>
  <si>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</si>
  <si>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</si>
  <si>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</si>
  <si>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</si>
  <si>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</si>
  <si>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</si>
  <si>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</si>
  <si>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</si>
  <si>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</si>
  <si>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</si>
  <si>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</si>
  <si>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</si>
  <si>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</si>
  <si>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</si>
  <si>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</si>
  <si>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</si>
  <si>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</si>
  <si>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</si>
  <si>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</si>
  <si>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</si>
  <si>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</si>
  <si>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</si>
  <si>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</si>
  <si>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</si>
  <si>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</si>
  <si>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</si>
  <si>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</si>
  <si>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</si>
  <si>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</si>
  <si>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</si>
  <si>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</si>
  <si>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</si>
  <si>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</si>
  <si>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</si>
  <si>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</si>
  <si>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</si>
  <si>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</si>
  <si>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</si>
  <si>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</si>
  <si>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</si>
  <si>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</si>
  <si>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</si>
  <si>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</si>
  <si>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</si>
  <si>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</si>
  <si>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</si>
  <si>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</si>
  <si>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</si>
  <si>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</si>
  <si>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</si>
  <si>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</si>
  <si>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</si>
  <si>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</si>
  <si>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</si>
  <si>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</si>
  <si>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</si>
  <si>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</si>
  <si>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</si>
  <si>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</si>
  <si>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</si>
  <si>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</si>
  <si>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</si>
  <si>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</si>
  <si>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</si>
  <si>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</si>
  <si>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</si>
  <si>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</si>
  <si>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</si>
  <si>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</si>
  <si>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</si>
  <si>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</si>
  <si>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</si>
  <si>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</si>
  <si>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</si>
  <si>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</si>
  <si>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</si>
  <si>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</si>
  <si>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</si>
  <si>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</si>
  <si>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</si>
  <si>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</si>
  <si>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</si>
  <si>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</si>
  <si>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</si>
  <si>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</si>
  <si>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</si>
  <si>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</si>
  <si>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</si>
  <si>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</si>
  <si>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</si>
  <si>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</si>
  <si>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</si>
  <si>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</si>
  <si>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</si>
  <si>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</si>
  <si>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</si>
  <si>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</si>
  <si>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</si>
  <si>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</si>
  <si>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</si>
  <si>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</si>
  <si>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</si>
  <si>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</si>
  <si>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</si>
  <si>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</si>
  <si>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</si>
  <si>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</si>
  <si>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</si>
  <si>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</si>
  <si>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</si>
  <si>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</si>
  <si>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</si>
  <si>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</si>
  <si>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</si>
  <si>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</si>
  <si>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</si>
  <si>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</si>
  <si>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</si>
  <si>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</si>
  <si>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</si>
  <si>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</si>
  <si>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</si>
  <si>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</si>
  <si>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</si>
  <si>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</si>
  <si>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</si>
  <si>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</si>
  <si>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</si>
  <si>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</si>
  <si>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</si>
  <si>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</si>
  <si>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</si>
  <si>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</si>
  <si>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</si>
  <si>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</si>
  <si>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</si>
  <si>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</si>
  <si>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</si>
  <si>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</si>
  <si>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</si>
  <si>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</si>
  <si>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</si>
  <si>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</si>
  <si>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</si>
  <si>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</si>
  <si>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</si>
  <si>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</si>
  <si>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</si>
  <si>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</si>
  <si>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</si>
  <si>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</si>
  <si>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</si>
  <si>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</si>
  <si>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</si>
  <si>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</si>
  <si>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</si>
  <si>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</si>
  <si>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</si>
  <si>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</si>
  <si>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</si>
  <si>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</si>
  <si>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</si>
  <si>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</si>
  <si>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</si>
  <si>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</si>
  <si>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</si>
  <si>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</si>
  <si>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</si>
  <si>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</si>
  <si>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</si>
  <si>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</si>
  <si>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</si>
  <si>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</si>
  <si>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</si>
  <si>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</si>
  <si>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</si>
  <si>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</si>
  <si>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</si>
  <si>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</si>
  <si>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</si>
  <si>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</si>
  <si>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</si>
  <si>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</si>
  <si>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</si>
  <si>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</si>
  <si>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</si>
  <si>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</si>
  <si>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</si>
  <si>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</si>
  <si>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</si>
  <si>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</si>
  <si>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</si>
  <si>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</si>
  <si>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</si>
  <si>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</si>
  <si>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</si>
  <si>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</si>
  <si>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COLEBROOK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</si>
</sst>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3">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0" fontId="3" fillId="41" borderId="0" xfId="43" applyFill="1" applyBorder="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0" fontId="1" fillId="41" borderId="0" xfId="43" applyFont="1" applyFill="1" applyProtection="1">
      <protection locked="0"/>
    </xf>
    <xf numFmtId="4" fontId="73" fillId="0" borderId="0" xfId="0" applyNumberFormat="1" applyFont="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49" fontId="13" fillId="0" borderId="0" xfId="0" applyNumberFormat="1" applyFont="1" applyAlignment="1" applyProtection="1">
      <alignment horizontal="center"/>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105</v>
      </c>
      <c r="C2" s="21">
        <v>105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1277968.04</v>
      </c>
      <c r="G9" s="18">
        <v>34999.32</v>
      </c>
      <c r="H9" s="18"/>
      <c r="I9" s="18"/>
      <c r="J9" s="67">
        <f>SUM(I440)</f>
        <v>711253.22</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53121.760000000002</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21550.26</v>
      </c>
      <c r="G13" s="18">
        <v>6749.38</v>
      </c>
      <c r="H13" s="18">
        <f>108744.49-397.92</f>
        <v>108346.57</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4067.65</v>
      </c>
      <c r="G14" s="18">
        <v>145.84</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4215.91</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1858</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1358565.71</v>
      </c>
      <c r="G19" s="41">
        <f>SUM(G9:G18)</f>
        <v>46110.45</v>
      </c>
      <c r="H19" s="41">
        <f>SUM(H9:H18)</f>
        <v>108346.57</v>
      </c>
      <c r="I19" s="41">
        <f>SUM(I9:I18)</f>
        <v>0</v>
      </c>
      <c r="J19" s="41">
        <f>SUM(J9:J18)</f>
        <v>711253.22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v>53121.760000000002</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85486.94-20187</f>
        <v>65299.94</v>
      </c>
      <c r="G24" s="18">
        <f>10320.89+3671.42</f>
        <v>13992.31</v>
      </c>
      <c r="H24" s="18">
        <v>5048.25</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360033.53+31.82</f>
        <v>360065.35000000003</v>
      </c>
      <c r="G28" s="18"/>
      <c r="H28" s="18">
        <v>39774.61</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1795.03</v>
      </c>
      <c r="H30" s="18">
        <v>10401.950000000001</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425365.29000000004</v>
      </c>
      <c r="G32" s="41">
        <f>SUM(G22:G31)</f>
        <v>15787.34</v>
      </c>
      <c r="H32" s="41">
        <f>SUM(H22:H31)</f>
        <v>108346.56999999999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4215.91</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86261</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1000</v>
      </c>
      <c r="G48" s="18">
        <f>33626.75-14451.97+156144.52-142462.72-6749.38</f>
        <v>26107.199999999986</v>
      </c>
      <c r="H48" s="18"/>
      <c r="I48" s="18"/>
      <c r="J48" s="13">
        <f>SUM(I460)</f>
        <v>711253.22</v>
      </c>
      <c r="K48" s="24" t="s">
        <v>288</v>
      </c>
      <c r="L48" s="24" t="s">
        <v>288</v>
      </c>
      <c r="M48" s="8"/>
      <c r="N48" s="264"/>
    </row>
    <row r="49" spans="1:14" s="3" customFormat="1" ht="12.2" customHeight="1" x14ac:dyDescent="0.15">
      <c r="A49" s="1" t="s">
        <v>859</v>
      </c>
      <c r="B49" s="2" t="s">
        <v>289</v>
      </c>
      <c r="C49" s="6">
        <v>34</v>
      </c>
      <c r="D49" s="2"/>
      <c r="E49" s="6">
        <v>753</v>
      </c>
      <c r="F49" s="18">
        <v>3600</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909064.73+19535.69-86261</f>
        <v>842339.41999999993</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933200.41999999993</v>
      </c>
      <c r="G51" s="41">
        <f>SUM(G35:G50)</f>
        <v>30323.109999999986</v>
      </c>
      <c r="H51" s="41">
        <f>SUM(H35:H50)</f>
        <v>0</v>
      </c>
      <c r="I51" s="41">
        <f>SUM(I35:I50)</f>
        <v>0</v>
      </c>
      <c r="J51" s="41">
        <f>SUM(J35:J50)</f>
        <v>711253.22</v>
      </c>
      <c r="K51" s="45" t="s">
        <v>288</v>
      </c>
      <c r="L51" s="45" t="s">
        <v>288</v>
      </c>
      <c r="N51" s="262"/>
    </row>
    <row r="52" spans="1:14" s="3" customFormat="1" ht="12.2" customHeight="1" thickTop="1" x14ac:dyDescent="0.15">
      <c r="A52" s="38" t="s">
        <v>455</v>
      </c>
      <c r="B52" s="39" t="s">
        <v>289</v>
      </c>
      <c r="C52" s="6">
        <v>37</v>
      </c>
      <c r="D52" s="39" t="s">
        <v>653</v>
      </c>
      <c r="E52" s="39"/>
      <c r="F52" s="41">
        <f>F51+F32</f>
        <v>1358565.71</v>
      </c>
      <c r="G52" s="41">
        <f>G51+G32</f>
        <v>46110.449999999983</v>
      </c>
      <c r="H52" s="41">
        <f>H51+H32</f>
        <v>108346.56999999999</v>
      </c>
      <c r="I52" s="41">
        <f>I51+I32</f>
        <v>0</v>
      </c>
      <c r="J52" s="41">
        <f>J51+J32</f>
        <v>711253.22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1852287</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1852287</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f>9112.5+675</f>
        <v>9787.5</v>
      </c>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f>981918.34+69228-675+20187</f>
        <v>1070658.3399999999</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143674</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1224119.8399999999</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90.19</v>
      </c>
      <c r="G96" s="18"/>
      <c r="H96" s="18"/>
      <c r="I96" s="18"/>
      <c r="J96" s="18">
        <v>8491.5499999999993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2388.89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18000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60214</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13636.47</v>
      </c>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f>8013.07+27199.47</f>
        <v>35212.54</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6000+6688.7+75379.58</f>
        <v>88068.28</v>
      </c>
      <c r="G110" s="18"/>
      <c r="H110" s="18">
        <f>3216.72+11800</f>
        <v>15016.72</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215221.48</v>
      </c>
      <c r="G111" s="41">
        <f>SUM(G96:G110)</f>
        <v>2388.89</v>
      </c>
      <c r="H111" s="41">
        <f>SUM(H96:H110)</f>
        <v>15016.72</v>
      </c>
      <c r="I111" s="41">
        <f>SUM(I96:I110)</f>
        <v>0</v>
      </c>
      <c r="J111" s="41">
        <f>SUM(J96:J110)</f>
        <v>8491.5499999999993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3291628.32</v>
      </c>
      <c r="G112" s="41">
        <f>G60+G111</f>
        <v>2388.89</v>
      </c>
      <c r="H112" s="41">
        <f>H60+H79+H94+H111</f>
        <v>15016.72</v>
      </c>
      <c r="I112" s="41">
        <f>I60+I111</f>
        <v>0</v>
      </c>
      <c r="J112" s="41">
        <f>J60+J111</f>
        <v>8491.5499999999993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2255089.46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304240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528.13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2559857.59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f>98011.05-528.13</f>
        <v>97482.92</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14469.23</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583.95000000000005</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2814.05-26.7</f>
        <v>2787.3500000000004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112536.09999999999</v>
      </c>
      <c r="G136" s="41">
        <f>SUM(G123:G135)</f>
        <v>2787.3500000000004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2672393.69</v>
      </c>
      <c r="G140" s="41">
        <f>G121+SUM(G136:G137)</f>
        <v>2787.3500000000004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6517.93+125323.68-397.92</f>
        <v>131443.68999999997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23317.89+10436.47</f>
        <v>33754.36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100941.58-6722.68</f>
        <v>94218.9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2007.78+1000.62+25694.69+42791.29</f>
        <v>71494.38</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60800+38811.94-11800</f>
        <v>87811.94</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v>115049.04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94218.9</v>
      </c>
      <c r="H163" s="41">
        <f>SUM(H150:H162)</f>
        <v>439553.41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0</v>
      </c>
      <c r="G170" s="41">
        <f>G147+G163+SUM(G164:G169)</f>
        <v>94218.9</v>
      </c>
      <c r="H170" s="41">
        <f>H147+H163+SUM(H164:H169)</f>
        <v>439553.41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50000</v>
      </c>
      <c r="H180" s="18"/>
      <c r="I180" s="18"/>
      <c r="J180" s="18">
        <v>85000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50000</v>
      </c>
      <c r="H184" s="41">
        <f>SUM(H180:H183)</f>
        <v>0</v>
      </c>
      <c r="I184" s="41">
        <f>SUM(I180:I183)</f>
        <v>0</v>
      </c>
      <c r="J184" s="41">
        <f>SUM(J180:J183)</f>
        <v>85000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40000</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40000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40000</v>
      </c>
      <c r="G193" s="41">
        <f>G184+SUM(G189:G192)</f>
        <v>50000</v>
      </c>
      <c r="H193" s="41">
        <f>+H184+SUM(H189:H192)</f>
        <v>0</v>
      </c>
      <c r="I193" s="41">
        <f>I178+I184+SUM(I189:I192)</f>
        <v>0</v>
      </c>
      <c r="J193" s="41">
        <f>J184</f>
        <v>85000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6004022.0099999998</v>
      </c>
      <c r="G194" s="47">
        <f>G112+G140+G170+G193</f>
        <v>149395.14000000001</v>
      </c>
      <c r="H194" s="47">
        <f>H112+H140+H170+H193</f>
        <v>454570.12999999995</v>
      </c>
      <c r="I194" s="47">
        <f>I112+I140+I170+I193</f>
        <v>0</v>
      </c>
      <c r="J194" s="47">
        <f>J112+J140+J193</f>
        <v>93491.55</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744786.35</v>
      </c>
      <c r="G198" s="18">
        <f>455551.94+31.82+397.92</f>
        <v>455981.68</v>
      </c>
      <c r="H198" s="18">
        <f>12157.06+1641.27+55</f>
        <v>13853.33</v>
      </c>
      <c r="I198" s="18">
        <v>37979.89</v>
      </c>
      <c r="J198" s="18">
        <v>3996.88</v>
      </c>
      <c r="K198" s="18">
        <v>4034</v>
      </c>
      <c r="L198" s="19">
        <f>SUM(F198:K198)</f>
        <v>1260632.1299999999</v>
      </c>
      <c r="M198" s="8"/>
      <c r="N198" s="264"/>
    </row>
    <row r="199" spans="1:14" s="3" customFormat="1" ht="12.2" customHeight="1" x14ac:dyDescent="0.15">
      <c r="A199" s="1" t="s">
        <v>439</v>
      </c>
      <c r="B199" s="2" t="s">
        <v>341</v>
      </c>
      <c r="C199" s="2" t="s">
        <v>291</v>
      </c>
      <c r="D199" s="2" t="s">
        <v>431</v>
      </c>
      <c r="E199" s="6">
        <v>1200</v>
      </c>
      <c r="F199" s="18">
        <v>335475.46999999997</v>
      </c>
      <c r="G199" s="18">
        <v>92494.720000000001</v>
      </c>
      <c r="H199" s="18">
        <f>22580.94+120035.57</f>
        <v>142616.51</v>
      </c>
      <c r="I199" s="18">
        <v>639.38</v>
      </c>
      <c r="J199" s="18">
        <v>10.82</v>
      </c>
      <c r="K199" s="18">
        <v>24.8</v>
      </c>
      <c r="L199" s="19">
        <f>SUM(F199:K199)</f>
        <v>571261.69999999995</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30847.200000000001</v>
      </c>
      <c r="G201" s="18">
        <v>4273.43</v>
      </c>
      <c r="H201" s="18">
        <v>1115</v>
      </c>
      <c r="I201" s="18">
        <v>605.48</v>
      </c>
      <c r="J201" s="18"/>
      <c r="K201" s="18">
        <v>702.58</v>
      </c>
      <c r="L201" s="19">
        <f>SUM(F201:K201)</f>
        <v>37543.69000000001</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216980.37</v>
      </c>
      <c r="G203" s="18">
        <v>55360.75</v>
      </c>
      <c r="H203" s="18">
        <v>87112.47</v>
      </c>
      <c r="I203" s="18">
        <v>3471.62</v>
      </c>
      <c r="J203" s="18">
        <v>24549.31</v>
      </c>
      <c r="K203" s="18">
        <v>6707.35</v>
      </c>
      <c r="L203" s="19">
        <f t="shared" ref="L203:L209" si="0">SUM(F203:K203)</f>
        <v>394181.86999999994</v>
      </c>
      <c r="M203" s="8"/>
      <c r="N203" s="264"/>
    </row>
    <row r="204" spans="1:14" s="3" customFormat="1" ht="12.2" customHeight="1" x14ac:dyDescent="0.15">
      <c r="A204" s="1" t="s">
        <v>443</v>
      </c>
      <c r="B204" s="2" t="s">
        <v>341</v>
      </c>
      <c r="C204" s="2" t="s">
        <v>295</v>
      </c>
      <c r="D204" s="2" t="s">
        <v>431</v>
      </c>
      <c r="E204" s="6">
        <v>2200</v>
      </c>
      <c r="F204" s="18">
        <v>27935</v>
      </c>
      <c r="G204" s="18">
        <v>13172.09</v>
      </c>
      <c r="H204" s="18">
        <f>4628.81+336.04</f>
        <v>4964.8500000000004</v>
      </c>
      <c r="I204" s="18">
        <v>3931.94</v>
      </c>
      <c r="J204" s="18"/>
      <c r="K204" s="18">
        <v>1136</v>
      </c>
      <c r="L204" s="19">
        <f t="shared" si="0"/>
        <v>51139.88</v>
      </c>
      <c r="M204" s="8"/>
      <c r="N204" s="264"/>
    </row>
    <row r="205" spans="1:14" s="3" customFormat="1" ht="12.2" customHeight="1" x14ac:dyDescent="0.15">
      <c r="A205" s="1" t="s">
        <v>444</v>
      </c>
      <c r="B205" s="2" t="s">
        <v>341</v>
      </c>
      <c r="C205" s="2" t="s">
        <v>296</v>
      </c>
      <c r="D205" s="2" t="s">
        <v>431</v>
      </c>
      <c r="E205" s="6">
        <v>2300</v>
      </c>
      <c r="F205" s="18">
        <v>13261.45</v>
      </c>
      <c r="G205" s="18">
        <v>2180.12</v>
      </c>
      <c r="H205" s="18">
        <f>347465.17+17795.18</f>
        <v>365260.35</v>
      </c>
      <c r="I205" s="18">
        <v>1127.8900000000001</v>
      </c>
      <c r="J205" s="18"/>
      <c r="K205" s="18">
        <v>2360.7199999999998</v>
      </c>
      <c r="L205" s="19">
        <f t="shared" si="0"/>
        <v>384190.52999999997</v>
      </c>
      <c r="M205" s="8"/>
      <c r="N205" s="264"/>
    </row>
    <row r="206" spans="1:14" s="3" customFormat="1" ht="12.2" customHeight="1" x14ac:dyDescent="0.15">
      <c r="A206" s="1" t="s">
        <v>445</v>
      </c>
      <c r="B206" s="2" t="s">
        <v>341</v>
      </c>
      <c r="C206" s="2" t="s">
        <v>297</v>
      </c>
      <c r="D206" s="2" t="s">
        <v>431</v>
      </c>
      <c r="E206" s="6">
        <v>2400</v>
      </c>
      <c r="F206" s="18">
        <v>88698.98</v>
      </c>
      <c r="G206" s="18">
        <v>36823.5</v>
      </c>
      <c r="H206" s="18">
        <f>2857.28+289.76+7401.37+140.25</f>
        <v>10688.66</v>
      </c>
      <c r="I206" s="18">
        <v>1861.49</v>
      </c>
      <c r="J206" s="18"/>
      <c r="K206" s="18">
        <v>2639.74</v>
      </c>
      <c r="L206" s="19">
        <f t="shared" si="0"/>
        <v>140712.36999999997</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86719.13</v>
      </c>
      <c r="G208" s="18">
        <v>41103.82</v>
      </c>
      <c r="H208" s="18">
        <f>176687.11+64422.88+19798.49</f>
        <v>260908.47999999998</v>
      </c>
      <c r="I208" s="18">
        <v>135856.34</v>
      </c>
      <c r="J208" s="18">
        <v>10412.290000000001</v>
      </c>
      <c r="K208" s="18">
        <v>1803.74</v>
      </c>
      <c r="L208" s="19">
        <f t="shared" si="0"/>
        <v>536803.80000000005</v>
      </c>
      <c r="M208" s="8"/>
      <c r="N208" s="264"/>
    </row>
    <row r="209" spans="1:14" s="3" customFormat="1" ht="12.2" customHeight="1" x14ac:dyDescent="0.15">
      <c r="A209" s="1" t="s">
        <v>448</v>
      </c>
      <c r="B209" s="2" t="s">
        <v>341</v>
      </c>
      <c r="C209" s="2" t="s">
        <v>300</v>
      </c>
      <c r="D209" s="2" t="s">
        <v>431</v>
      </c>
      <c r="E209" s="6">
        <v>2700</v>
      </c>
      <c r="F209" s="18">
        <v>674.27</v>
      </c>
      <c r="G209" s="18">
        <v>180.84</v>
      </c>
      <c r="H209" s="18">
        <f>1726.24+113572.13</f>
        <v>115298.37000000001</v>
      </c>
      <c r="I209" s="18">
        <v>225.51</v>
      </c>
      <c r="J209" s="18">
        <v>8963.1</v>
      </c>
      <c r="K209" s="18">
        <v>311.2</v>
      </c>
      <c r="L209" s="19">
        <f t="shared" si="0"/>
        <v>125653.29000000001</v>
      </c>
      <c r="M209" s="8"/>
      <c r="N209" s="264"/>
    </row>
    <row r="210" spans="1:14" s="3" customFormat="1" ht="12.2" customHeight="1" x14ac:dyDescent="0.15">
      <c r="A210" s="1" t="s">
        <v>449</v>
      </c>
      <c r="B210" s="2" t="s">
        <v>341</v>
      </c>
      <c r="C210" s="2" t="s">
        <v>343</v>
      </c>
      <c r="D210" s="2" t="s">
        <v>431</v>
      </c>
      <c r="E210" s="6">
        <v>2800</v>
      </c>
      <c r="F210" s="18"/>
      <c r="G210" s="18"/>
      <c r="H210" s="18">
        <v>3905.54</v>
      </c>
      <c r="I210" s="18"/>
      <c r="J210" s="18"/>
      <c r="K210" s="18"/>
      <c r="L210" s="19">
        <f>SUM(F210:K210)</f>
        <v>3905.54</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1545378.2199999997</v>
      </c>
      <c r="G212" s="41">
        <f t="shared" si="1"/>
        <v>701570.95</v>
      </c>
      <c r="H212" s="41">
        <f t="shared" si="1"/>
        <v>1005723.56</v>
      </c>
      <c r="I212" s="41">
        <f t="shared" si="1"/>
        <v>185699.54</v>
      </c>
      <c r="J212" s="41">
        <f t="shared" si="1"/>
        <v>47932.4</v>
      </c>
      <c r="K212" s="41">
        <f t="shared" si="1"/>
        <v>19720.13</v>
      </c>
      <c r="L212" s="41">
        <f t="shared" si="1"/>
        <v>3506024.8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501117.8</v>
      </c>
      <c r="G234" s="18">
        <v>285430.71000000002</v>
      </c>
      <c r="H234" s="18">
        <f>74758.88+2450.75+2191.89</f>
        <v>79401.52</v>
      </c>
      <c r="I234" s="18">
        <v>20318.09</v>
      </c>
      <c r="J234" s="18">
        <v>845.29</v>
      </c>
      <c r="K234" s="18">
        <v>5848.48</v>
      </c>
      <c r="L234" s="19">
        <f>SUM(F234:K234)</f>
        <v>892961.89</v>
      </c>
      <c r="M234" s="8"/>
      <c r="N234" s="264"/>
    </row>
    <row r="235" spans="1:14" s="3" customFormat="1" ht="12.2" customHeight="1" x14ac:dyDescent="0.15">
      <c r="A235" s="1" t="s">
        <v>439</v>
      </c>
      <c r="B235" s="2" t="s">
        <v>350</v>
      </c>
      <c r="C235" s="2" t="s">
        <v>291</v>
      </c>
      <c r="D235" s="2" t="s">
        <v>431</v>
      </c>
      <c r="E235" s="6">
        <v>1200</v>
      </c>
      <c r="F235" s="18">
        <v>94568.41</v>
      </c>
      <c r="G235" s="18">
        <v>30044.35</v>
      </c>
      <c r="H235" s="18">
        <v>9896.2900000000009</v>
      </c>
      <c r="I235" s="18"/>
      <c r="J235" s="18"/>
      <c r="K235" s="18"/>
      <c r="L235" s="19">
        <f>SUM(F235:K235)</f>
        <v>134509.05000000002</v>
      </c>
      <c r="M235" s="8"/>
      <c r="N235" s="264"/>
    </row>
    <row r="236" spans="1:14" s="3" customFormat="1" ht="12.2" customHeight="1" x14ac:dyDescent="0.15">
      <c r="A236" s="1" t="s">
        <v>440</v>
      </c>
      <c r="B236" s="2" t="s">
        <v>350</v>
      </c>
      <c r="C236" s="2" t="s">
        <v>292</v>
      </c>
      <c r="D236" s="2" t="s">
        <v>431</v>
      </c>
      <c r="E236" s="6">
        <v>1300</v>
      </c>
      <c r="F236" s="18"/>
      <c r="G236" s="18"/>
      <c r="H236" s="18">
        <v>27300</v>
      </c>
      <c r="I236" s="18"/>
      <c r="J236" s="18"/>
      <c r="K236" s="18"/>
      <c r="L236" s="19">
        <f>SUM(F236:K236)</f>
        <v>27300</v>
      </c>
      <c r="M236" s="8"/>
      <c r="N236" s="264"/>
    </row>
    <row r="237" spans="1:14" s="3" customFormat="1" ht="12.2" customHeight="1" x14ac:dyDescent="0.15">
      <c r="A237" s="1" t="s">
        <v>441</v>
      </c>
      <c r="B237" s="2" t="s">
        <v>350</v>
      </c>
      <c r="C237" s="2" t="s">
        <v>293</v>
      </c>
      <c r="D237" s="2" t="s">
        <v>431</v>
      </c>
      <c r="E237" s="6">
        <v>1400</v>
      </c>
      <c r="F237" s="18">
        <v>59649.8</v>
      </c>
      <c r="G237" s="18">
        <v>7744.58</v>
      </c>
      <c r="H237" s="18">
        <f>6003+318</f>
        <v>6321</v>
      </c>
      <c r="I237" s="18">
        <v>2477.9699999999998</v>
      </c>
      <c r="J237" s="18">
        <v>660.89</v>
      </c>
      <c r="K237" s="18">
        <v>6634</v>
      </c>
      <c r="L237" s="19">
        <f>SUM(F237:K237)</f>
        <v>83488.240000000005</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99942.27</v>
      </c>
      <c r="G239" s="18">
        <v>41072.36</v>
      </c>
      <c r="H239" s="18">
        <v>10629.68</v>
      </c>
      <c r="I239" s="18">
        <v>1438.17</v>
      </c>
      <c r="J239" s="18">
        <v>28844.66</v>
      </c>
      <c r="K239" s="18">
        <v>11901.51</v>
      </c>
      <c r="L239" s="19">
        <f t="shared" ref="L239:L245" si="4">SUM(F239:K239)</f>
        <v>193828.65000000002</v>
      </c>
      <c r="M239" s="8"/>
      <c r="N239" s="264"/>
    </row>
    <row r="240" spans="1:14" s="3" customFormat="1" ht="12.2" customHeight="1" x14ac:dyDescent="0.15">
      <c r="A240" s="1" t="s">
        <v>443</v>
      </c>
      <c r="B240" s="2" t="s">
        <v>350</v>
      </c>
      <c r="C240" s="2" t="s">
        <v>295</v>
      </c>
      <c r="D240" s="2" t="s">
        <v>431</v>
      </c>
      <c r="E240" s="6">
        <v>2200</v>
      </c>
      <c r="F240" s="18">
        <v>29178.9</v>
      </c>
      <c r="G240" s="18">
        <v>11835.52</v>
      </c>
      <c r="H240" s="18">
        <v>686.88</v>
      </c>
      <c r="I240" s="18">
        <v>2784.54</v>
      </c>
      <c r="J240" s="18"/>
      <c r="K240" s="18">
        <v>639</v>
      </c>
      <c r="L240" s="19">
        <f t="shared" si="4"/>
        <v>45124.84</v>
      </c>
      <c r="M240" s="8"/>
      <c r="N240" s="264"/>
    </row>
    <row r="241" spans="1:14" s="3" customFormat="1" ht="12.2" customHeight="1" x14ac:dyDescent="0.15">
      <c r="A241" s="1" t="s">
        <v>444</v>
      </c>
      <c r="B241" s="2" t="s">
        <v>350</v>
      </c>
      <c r="C241" s="2" t="s">
        <v>296</v>
      </c>
      <c r="D241" s="2" t="s">
        <v>431</v>
      </c>
      <c r="E241" s="6">
        <v>2300</v>
      </c>
      <c r="F241" s="18">
        <v>6008.96</v>
      </c>
      <c r="G241" s="18">
        <v>957.89</v>
      </c>
      <c r="H241" s="18">
        <f>194331.85+9769.02</f>
        <v>204100.87</v>
      </c>
      <c r="I241" s="18">
        <v>580.1</v>
      </c>
      <c r="J241" s="18"/>
      <c r="K241" s="18">
        <v>1499.65</v>
      </c>
      <c r="L241" s="19">
        <f t="shared" si="4"/>
        <v>213147.47</v>
      </c>
      <c r="M241" s="8"/>
      <c r="N241" s="264"/>
    </row>
    <row r="242" spans="1:14" s="3" customFormat="1" ht="12.2" customHeight="1" x14ac:dyDescent="0.15">
      <c r="A242" s="1" t="s">
        <v>445</v>
      </c>
      <c r="B242" s="2" t="s">
        <v>350</v>
      </c>
      <c r="C242" s="2" t="s">
        <v>297</v>
      </c>
      <c r="D242" s="2" t="s">
        <v>431</v>
      </c>
      <c r="E242" s="6">
        <v>2400</v>
      </c>
      <c r="F242" s="18">
        <v>79489.42</v>
      </c>
      <c r="G242" s="18">
        <v>36675.449999999997</v>
      </c>
      <c r="H242" s="18">
        <v>7562.75</v>
      </c>
      <c r="I242" s="18">
        <v>3962.17</v>
      </c>
      <c r="J242" s="18"/>
      <c r="K242" s="18">
        <v>2795.5</v>
      </c>
      <c r="L242" s="19">
        <f t="shared" si="4"/>
        <v>130485.29</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113663.89</v>
      </c>
      <c r="G244" s="18">
        <v>44749.91</v>
      </c>
      <c r="H244" s="18">
        <f>161241.94+39886.94+11134.21</f>
        <v>212263.09</v>
      </c>
      <c r="I244" s="18">
        <v>76447.67</v>
      </c>
      <c r="J244" s="18">
        <v>5031.8100000000004</v>
      </c>
      <c r="K244" s="18">
        <v>933.78</v>
      </c>
      <c r="L244" s="19">
        <f t="shared" si="4"/>
        <v>453090.15</v>
      </c>
      <c r="M244" s="8"/>
      <c r="N244" s="264"/>
    </row>
    <row r="245" spans="1:14" s="3" customFormat="1" ht="12.2" customHeight="1" x14ac:dyDescent="0.15">
      <c r="A245" s="1" t="s">
        <v>448</v>
      </c>
      <c r="B245" s="2" t="s">
        <v>350</v>
      </c>
      <c r="C245" s="2" t="s">
        <v>300</v>
      </c>
      <c r="D245" s="2" t="s">
        <v>431</v>
      </c>
      <c r="E245" s="6">
        <v>2700</v>
      </c>
      <c r="F245" s="18">
        <v>9171.2800000000007</v>
      </c>
      <c r="G245" s="18">
        <v>1177.4000000000001</v>
      </c>
      <c r="H245" s="18">
        <f>738.4+79170.62</f>
        <v>79909.01999999999</v>
      </c>
      <c r="I245" s="18">
        <v>860.65</v>
      </c>
      <c r="J245" s="18">
        <v>50790.9</v>
      </c>
      <c r="K245" s="18">
        <v>102.53</v>
      </c>
      <c r="L245" s="19">
        <f t="shared" si="4"/>
        <v>142011.77999999997</v>
      </c>
      <c r="M245" s="8"/>
      <c r="N245" s="264"/>
    </row>
    <row r="246" spans="1:14" s="3" customFormat="1" ht="12.2" customHeight="1" x14ac:dyDescent="0.15">
      <c r="A246" s="1" t="s">
        <v>449</v>
      </c>
      <c r="B246" s="2" t="s">
        <v>350</v>
      </c>
      <c r="C246" s="2" t="s">
        <v>343</v>
      </c>
      <c r="D246" s="2" t="s">
        <v>431</v>
      </c>
      <c r="E246" s="6">
        <v>2800</v>
      </c>
      <c r="F246" s="18"/>
      <c r="G246" s="18"/>
      <c r="H246" s="18">
        <v>3054.56</v>
      </c>
      <c r="I246" s="18"/>
      <c r="J246" s="18"/>
      <c r="K246" s="18"/>
      <c r="L246" s="19">
        <f>SUM(F246:K246)</f>
        <v>3054.56</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992790.7300000001</v>
      </c>
      <c r="G248" s="41">
        <f t="shared" si="5"/>
        <v>459688.17000000004</v>
      </c>
      <c r="H248" s="41">
        <f t="shared" si="5"/>
        <v>641125.66</v>
      </c>
      <c r="I248" s="41">
        <f t="shared" si="5"/>
        <v>108869.35999999999</v>
      </c>
      <c r="J248" s="41">
        <f t="shared" si="5"/>
        <v>86173.55</v>
      </c>
      <c r="K248" s="41">
        <f t="shared" si="5"/>
        <v>30354.449999999997</v>
      </c>
      <c r="L248" s="41">
        <f t="shared" si="5"/>
        <v>2319001.92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2538168.9499999997</v>
      </c>
      <c r="G258" s="41">
        <f t="shared" si="8"/>
        <v>1161259.1200000001</v>
      </c>
      <c r="H258" s="41">
        <f t="shared" si="8"/>
        <v>1646849.2200000002</v>
      </c>
      <c r="I258" s="41">
        <f t="shared" si="8"/>
        <v>294568.90000000002</v>
      </c>
      <c r="J258" s="41">
        <f t="shared" si="8"/>
        <v>134105.95000000001</v>
      </c>
      <c r="K258" s="41">
        <f t="shared" si="8"/>
        <v>50074.58</v>
      </c>
      <c r="L258" s="41">
        <f t="shared" si="8"/>
        <v>5825026.7199999997</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50000</v>
      </c>
      <c r="L264" s="19">
        <f>SUM(F264:K264)</f>
        <v>50000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85000</v>
      </c>
      <c r="L267" s="19">
        <f t="shared" si="9"/>
        <v>85000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24459.599999999999</v>
      </c>
      <c r="L269" s="19">
        <f t="shared" si="9"/>
        <v>24459.599999999999</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159459.6</v>
      </c>
      <c r="L271" s="41">
        <f t="shared" si="9"/>
        <v>159459.6</v>
      </c>
      <c r="M271" s="8"/>
      <c r="N271" s="264"/>
    </row>
    <row r="272" spans="1:14" s="34" customFormat="1" ht="12.2" customHeight="1" thickTop="1" x14ac:dyDescent="0.2">
      <c r="A272" s="43" t="s">
        <v>464</v>
      </c>
      <c r="B272" s="40">
        <v>10</v>
      </c>
      <c r="C272" s="40">
        <v>18</v>
      </c>
      <c r="D272" s="39" t="s">
        <v>431</v>
      </c>
      <c r="E272" s="40"/>
      <c r="F272" s="42">
        <f t="shared" ref="F272:L272" si="11">F258+F271</f>
        <v>2538168.9499999997</v>
      </c>
      <c r="G272" s="42">
        <f t="shared" si="11"/>
        <v>1161259.1200000001</v>
      </c>
      <c r="H272" s="42">
        <f t="shared" si="11"/>
        <v>1646849.2200000002</v>
      </c>
      <c r="I272" s="42">
        <f t="shared" si="11"/>
        <v>294568.90000000002</v>
      </c>
      <c r="J272" s="42">
        <f t="shared" si="11"/>
        <v>134105.95000000001</v>
      </c>
      <c r="K272" s="42">
        <f t="shared" si="11"/>
        <v>209534.18</v>
      </c>
      <c r="L272" s="42">
        <f t="shared" si="11"/>
        <v>5984486.3199999994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68337.81</v>
      </c>
      <c r="G277" s="18">
        <f>24111.3-397.92</f>
        <v>23713.38</v>
      </c>
      <c r="H277" s="18">
        <v>29976.42</v>
      </c>
      <c r="I277" s="18">
        <v>10061.77</v>
      </c>
      <c r="J277" s="18">
        <v>152574.04</v>
      </c>
      <c r="K277" s="18"/>
      <c r="L277" s="19">
        <f>SUM(F277:K277)</f>
        <v>284663.42000000004</v>
      </c>
      <c r="M277" s="8"/>
      <c r="N277" s="264"/>
    </row>
    <row r="278" spans="1:14" s="3" customFormat="1" ht="12.2" customHeight="1" x14ac:dyDescent="0.15">
      <c r="A278" s="1" t="s">
        <v>439</v>
      </c>
      <c r="B278" s="2" t="s">
        <v>357</v>
      </c>
      <c r="C278" s="2" t="s">
        <v>291</v>
      </c>
      <c r="D278" s="2" t="s">
        <v>431</v>
      </c>
      <c r="E278" s="6">
        <v>1200</v>
      </c>
      <c r="F278" s="18">
        <v>49153.25</v>
      </c>
      <c r="G278" s="18">
        <v>17325.939999999999</v>
      </c>
      <c r="H278" s="18"/>
      <c r="I278" s="18">
        <v>948.29</v>
      </c>
      <c r="J278" s="18">
        <v>1952.28</v>
      </c>
      <c r="K278" s="18"/>
      <c r="L278" s="19">
        <f>SUM(F278:K278)</f>
        <v>69379.759999999995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3155</v>
      </c>
      <c r="G280" s="18">
        <v>576.64</v>
      </c>
      <c r="H280" s="18"/>
      <c r="I280" s="18"/>
      <c r="J280" s="18"/>
      <c r="K280" s="18"/>
      <c r="L280" s="19">
        <f>SUM(F280:K280)</f>
        <v>3731.64</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v>10436.469999999999</v>
      </c>
      <c r="I282" s="18">
        <f>249.69+700</f>
        <v>949.69</v>
      </c>
      <c r="J282" s="18">
        <v>17371.98</v>
      </c>
      <c r="K282" s="18">
        <v>3890.45</v>
      </c>
      <c r="L282" s="19">
        <f t="shared" ref="L282:L288" si="12">SUM(F282:K282)</f>
        <v>32648.59</v>
      </c>
      <c r="M282" s="8"/>
      <c r="N282" s="264"/>
    </row>
    <row r="283" spans="1:14" s="3" customFormat="1" ht="12.2" customHeight="1" x14ac:dyDescent="0.15">
      <c r="A283" s="1" t="s">
        <v>443</v>
      </c>
      <c r="B283" s="2" t="s">
        <v>357</v>
      </c>
      <c r="C283" s="2" t="s">
        <v>295</v>
      </c>
      <c r="D283" s="2" t="s">
        <v>431</v>
      </c>
      <c r="E283" s="6">
        <v>2200</v>
      </c>
      <c r="F283" s="18">
        <v>4670</v>
      </c>
      <c r="G283" s="18">
        <v>1307.83</v>
      </c>
      <c r="H283" s="18">
        <f>7894.95+678.28</f>
        <v>8573.23</v>
      </c>
      <c r="I283" s="18">
        <v>713</v>
      </c>
      <c r="J283" s="18"/>
      <c r="K283" s="18"/>
      <c r="L283" s="19">
        <f t="shared" si="12"/>
        <v>15264.06</v>
      </c>
      <c r="M283" s="8"/>
      <c r="N283" s="264"/>
    </row>
    <row r="284" spans="1:14" s="3" customFormat="1" ht="12.2" customHeight="1" x14ac:dyDescent="0.15">
      <c r="A284" s="1" t="s">
        <v>444</v>
      </c>
      <c r="B284" s="2" t="s">
        <v>357</v>
      </c>
      <c r="C284" s="2" t="s">
        <v>296</v>
      </c>
      <c r="D284" s="2" t="s">
        <v>431</v>
      </c>
      <c r="E284" s="6">
        <v>2300</v>
      </c>
      <c r="F284" s="18">
        <v>3650</v>
      </c>
      <c r="G284" s="18">
        <v>947.42</v>
      </c>
      <c r="H284" s="18"/>
      <c r="I284" s="18">
        <v>861.12</v>
      </c>
      <c r="J284" s="18"/>
      <c r="K284" s="18">
        <v>2114.62</v>
      </c>
      <c r="L284" s="19">
        <f t="shared" si="12"/>
        <v>7573.16</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3229.4</v>
      </c>
      <c r="I287" s="18">
        <v>3078.83</v>
      </c>
      <c r="J287" s="18">
        <v>8986.2999999999993</v>
      </c>
      <c r="K287" s="18"/>
      <c r="L287" s="19">
        <f t="shared" si="12"/>
        <v>15294.529999999999</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128966.06</v>
      </c>
      <c r="G291" s="42">
        <f t="shared" si="13"/>
        <v>43871.21</v>
      </c>
      <c r="H291" s="42">
        <f t="shared" si="13"/>
        <v>52215.519999999997</v>
      </c>
      <c r="I291" s="42">
        <f t="shared" si="13"/>
        <v>16612.700000000004</v>
      </c>
      <c r="J291" s="42">
        <f t="shared" si="13"/>
        <v>180884.6</v>
      </c>
      <c r="K291" s="42">
        <f t="shared" si="13"/>
        <v>6005.07</v>
      </c>
      <c r="L291" s="41">
        <f t="shared" si="13"/>
        <v>428555.16000000003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v>2362.31</v>
      </c>
      <c r="J315" s="18">
        <v>10405.299999999999</v>
      </c>
      <c r="K315" s="18"/>
      <c r="L315" s="19">
        <f>SUM(F315:K315)</f>
        <v>12767.609999999999</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f>418.75+670.45</f>
        <v>1089.2</v>
      </c>
      <c r="J320" s="18"/>
      <c r="K320" s="18"/>
      <c r="L320" s="19">
        <f t="shared" ref="L320:L326" si="16">SUM(F320:K320)</f>
        <v>1089.2</v>
      </c>
      <c r="M320" s="8"/>
      <c r="N320" s="264"/>
    </row>
    <row r="321" spans="1:14" s="3" customFormat="1" ht="12.2" customHeight="1" x14ac:dyDescent="0.15">
      <c r="A321" s="1" t="s">
        <v>443</v>
      </c>
      <c r="B321" s="2" t="s">
        <v>359</v>
      </c>
      <c r="C321" s="2" t="s">
        <v>295</v>
      </c>
      <c r="D321" s="2" t="s">
        <v>431</v>
      </c>
      <c r="E321" s="6">
        <v>2200</v>
      </c>
      <c r="F321" s="18">
        <v>2801.6</v>
      </c>
      <c r="G321" s="18">
        <v>803.19</v>
      </c>
      <c r="H321" s="18">
        <v>4829.04</v>
      </c>
      <c r="I321" s="18">
        <v>620</v>
      </c>
      <c r="J321" s="18"/>
      <c r="K321" s="18"/>
      <c r="L321" s="19">
        <f t="shared" si="16"/>
        <v>9053.83</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720</v>
      </c>
      <c r="I325" s="18">
        <v>411.08</v>
      </c>
      <c r="J325" s="18">
        <v>1973.25</v>
      </c>
      <c r="K325" s="18"/>
      <c r="L325" s="19">
        <f t="shared" si="16"/>
        <v>3104.33</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2801.6</v>
      </c>
      <c r="G329" s="42">
        <f t="shared" si="17"/>
        <v>803.19</v>
      </c>
      <c r="H329" s="42">
        <f t="shared" si="17"/>
        <v>5549.04</v>
      </c>
      <c r="I329" s="42">
        <f t="shared" si="17"/>
        <v>4482.59</v>
      </c>
      <c r="J329" s="42">
        <f t="shared" si="17"/>
        <v>12378.55</v>
      </c>
      <c r="K329" s="42">
        <f t="shared" si="17"/>
        <v>0</v>
      </c>
      <c r="L329" s="41">
        <f t="shared" si="17"/>
        <v>26014.97</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131767.66</v>
      </c>
      <c r="G339" s="41">
        <f t="shared" si="20"/>
        <v>44674.400000000001</v>
      </c>
      <c r="H339" s="41">
        <f t="shared" si="20"/>
        <v>57764.56</v>
      </c>
      <c r="I339" s="41">
        <f t="shared" si="20"/>
        <v>21095.290000000005</v>
      </c>
      <c r="J339" s="41">
        <f t="shared" si="20"/>
        <v>193263.15</v>
      </c>
      <c r="K339" s="41">
        <f t="shared" si="20"/>
        <v>6005.07</v>
      </c>
      <c r="L339" s="41">
        <f t="shared" si="20"/>
        <v>454570.13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131767.66</v>
      </c>
      <c r="G353" s="41">
        <f>G339</f>
        <v>44674.400000000001</v>
      </c>
      <c r="H353" s="41">
        <f>H339</f>
        <v>57764.56</v>
      </c>
      <c r="I353" s="41">
        <f>I339</f>
        <v>21095.290000000005</v>
      </c>
      <c r="J353" s="41">
        <f>J339</f>
        <v>193263.15</v>
      </c>
      <c r="K353" s="47">
        <f>K339+K352</f>
        <v>6005.07</v>
      </c>
      <c r="L353" s="41">
        <f>L339+L352</f>
        <v>454570.13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185.5+1710.04</f>
        <v>1895.54</v>
      </c>
      <c r="G359" s="18">
        <f>14.19+130.8+149</f>
        <v>293.99</v>
      </c>
      <c r="H359" s="18">
        <f>3141.85+84267.4</f>
        <v>87409.25</v>
      </c>
      <c r="I359" s="18">
        <f>649.71+628.65+402.78</f>
        <v>1681.14</v>
      </c>
      <c r="J359" s="18">
        <v>149.97999999999999</v>
      </c>
      <c r="K359" s="18">
        <v>50.75</v>
      </c>
      <c r="L359" s="13">
        <f>SUM(F359:K359)</f>
        <v>91480.65</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v>22.5</v>
      </c>
      <c r="H361" s="18">
        <f>1997.51+47400.41</f>
        <v>49397.920000000006</v>
      </c>
      <c r="I361" s="18">
        <f>278.47+315.32+903.59</f>
        <v>1497.38</v>
      </c>
      <c r="J361" s="18">
        <v>64.27</v>
      </c>
      <c r="K361" s="18"/>
      <c r="L361" s="19">
        <f>SUM(F361:K361)</f>
        <v>50982.07</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1895.54</v>
      </c>
      <c r="G363" s="47">
        <f t="shared" si="22"/>
        <v>316.49</v>
      </c>
      <c r="H363" s="47">
        <f t="shared" si="22"/>
        <v>136807.17000000001</v>
      </c>
      <c r="I363" s="47">
        <f t="shared" si="22"/>
        <v>3178.5200000000004</v>
      </c>
      <c r="J363" s="47">
        <f t="shared" si="22"/>
        <v>214.25</v>
      </c>
      <c r="K363" s="47">
        <f t="shared" si="22"/>
        <v>50.75</v>
      </c>
      <c r="L363" s="47">
        <f t="shared" si="22"/>
        <v>142462.72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1681.14</v>
      </c>
      <c r="G369" s="63"/>
      <c r="H369" s="63">
        <v>1497.38</v>
      </c>
      <c r="I369" s="56">
        <f>SUM(F369:H369)</f>
        <v>3178.5200000000004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1681.14</v>
      </c>
      <c r="G370" s="47">
        <f>SUM(G368:G369)</f>
        <v>0</v>
      </c>
      <c r="H370" s="47">
        <f>SUM(H368:H369)</f>
        <v>1497.38</v>
      </c>
      <c r="I370" s="47">
        <f>SUM(I368:I369)</f>
        <v>3178.5200000000004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85000</v>
      </c>
      <c r="H397" s="18">
        <f>1800.99+0.25</f>
        <v>1801.24</v>
      </c>
      <c r="I397" s="18"/>
      <c r="J397" s="24" t="s">
        <v>288</v>
      </c>
      <c r="K397" s="24" t="s">
        <v>288</v>
      </c>
      <c r="L397" s="56">
        <f t="shared" si="26"/>
        <v>86801.24</v>
      </c>
      <c r="M397" s="8"/>
      <c r="N397" s="264"/>
    </row>
    <row r="398" spans="1:14" s="3" customFormat="1" ht="12.2" customHeight="1" x14ac:dyDescent="0.15">
      <c r="A398" s="79" t="s">
        <v>515</v>
      </c>
      <c r="B398" s="2" t="s">
        <v>381</v>
      </c>
      <c r="C398" s="6">
        <v>10</v>
      </c>
      <c r="D398" s="2" t="s">
        <v>432</v>
      </c>
      <c r="E398" s="6"/>
      <c r="F398" s="18"/>
      <c r="G398" s="18"/>
      <c r="H398" s="18">
        <v>2184.7399999999998</v>
      </c>
      <c r="I398" s="18"/>
      <c r="J398" s="24" t="s">
        <v>288</v>
      </c>
      <c r="K398" s="24" t="s">
        <v>288</v>
      </c>
      <c r="L398" s="56">
        <f t="shared" si="26"/>
        <v>2184.7399999999998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v>147.66</v>
      </c>
      <c r="I400" s="18"/>
      <c r="J400" s="24" t="s">
        <v>288</v>
      </c>
      <c r="K400" s="24" t="s">
        <v>288</v>
      </c>
      <c r="L400" s="56">
        <f t="shared" si="26"/>
        <v>147.66</v>
      </c>
      <c r="M400" s="8"/>
      <c r="N400" s="264"/>
    </row>
    <row r="401" spans="1:21" s="3" customFormat="1" ht="12.2" customHeight="1" thickBot="1" x14ac:dyDescent="0.2">
      <c r="A401" s="79" t="s">
        <v>510</v>
      </c>
      <c r="B401" s="2" t="s">
        <v>381</v>
      </c>
      <c r="C401" s="6">
        <v>13</v>
      </c>
      <c r="D401" s="2" t="s">
        <v>432</v>
      </c>
      <c r="E401" s="6"/>
      <c r="F401" s="18"/>
      <c r="G401" s="18"/>
      <c r="H401" s="18">
        <f>2680.68+566.33+185.17+599.2+284+42.53</f>
        <v>4357.91</v>
      </c>
      <c r="I401" s="18"/>
      <c r="J401" s="24" t="s">
        <v>288</v>
      </c>
      <c r="K401" s="24" t="s">
        <v>288</v>
      </c>
      <c r="L401" s="56">
        <f t="shared" si="26"/>
        <v>4357.91</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85000</v>
      </c>
      <c r="H402" s="47">
        <f>SUM(H396:H401)</f>
        <v>8491.5499999999993</v>
      </c>
      <c r="I402" s="47">
        <f>SUM(I396:I401)</f>
        <v>0</v>
      </c>
      <c r="J402" s="45" t="s">
        <v>288</v>
      </c>
      <c r="K402" s="45" t="s">
        <v>288</v>
      </c>
      <c r="L402" s="47">
        <f>SUM(L396:L401)</f>
        <v>93491.550000000017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85000</v>
      </c>
      <c r="H409" s="47">
        <f>H394+H402+H408</f>
        <v>8491.5499999999993</v>
      </c>
      <c r="I409" s="47">
        <f>I394+I402+I408</f>
        <v>0</v>
      </c>
      <c r="J409" s="24" t="s">
        <v>288</v>
      </c>
      <c r="K409" s="24" t="s">
        <v>288</v>
      </c>
      <c r="L409" s="47">
        <f>L394+L402+L408</f>
        <v>93491.550000000017</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v>40000</v>
      </c>
      <c r="K417" s="18"/>
      <c r="L417" s="56">
        <f t="shared" si="27"/>
        <v>40000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40000</v>
      </c>
      <c r="K420" s="139">
        <f t="shared" si="28"/>
        <v>0</v>
      </c>
      <c r="L420" s="47">
        <f t="shared" si="28"/>
        <v>40000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40000</v>
      </c>
      <c r="K435" s="47">
        <f t="shared" si="32"/>
        <v>0</v>
      </c>
      <c r="L435" s="47">
        <f t="shared" si="32"/>
        <v>40000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f>711253.22-25000</f>
        <v>686253.22</v>
      </c>
      <c r="H440" s="18">
        <v>25000</v>
      </c>
      <c r="I440" s="56">
        <f t="shared" ref="I440:I446" si="33">SUM(F440:H440)</f>
        <v>711253.22</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686253.22</v>
      </c>
      <c r="H447" s="13">
        <f>SUM(H440:H446)</f>
        <v>25000</v>
      </c>
      <c r="I447" s="13">
        <f>SUM(I440:I446)</f>
        <v>711253.22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686253.22</v>
      </c>
      <c r="H460" s="18">
        <v>25000</v>
      </c>
      <c r="I460" s="56">
        <f t="shared" si="34"/>
        <v>711253.22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686253.22</v>
      </c>
      <c r="H461" s="83">
        <f>SUM(H455:H460)</f>
        <v>25000</v>
      </c>
      <c r="I461" s="83">
        <f>SUM(I455:I460)</f>
        <v>711253.22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686253.22</v>
      </c>
      <c r="H462" s="42">
        <f>H453+H461</f>
        <v>25000</v>
      </c>
      <c r="I462" s="42">
        <f>I453+I461</f>
        <v>711253.22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871362.05</v>
      </c>
      <c r="G466" s="18">
        <v>19900.02</v>
      </c>
      <c r="H466" s="18">
        <v>0</v>
      </c>
      <c r="I466" s="18"/>
      <c r="J466" s="18">
        <v>657761.67000000004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5980122.51+3712.5+20187</f>
        <v>6004022.0099999998</v>
      </c>
      <c r="G469" s="18">
        <f>156144.52-6749.38</f>
        <v>149395.13999999998</v>
      </c>
      <c r="H469" s="18">
        <f>454968.05-397.92</f>
        <v>454570.13</v>
      </c>
      <c r="I469" s="18"/>
      <c r="J469" s="18">
        <f>85000+8491.55</f>
        <v>93491.55</v>
      </c>
      <c r="K469" s="24" t="s">
        <v>288</v>
      </c>
      <c r="L469" s="24" t="s">
        <v>288</v>
      </c>
      <c r="N469" s="263"/>
    </row>
    <row r="470" spans="1:14" s="52" customFormat="1" ht="12.2" customHeight="1" x14ac:dyDescent="0.2">
      <c r="A470" s="93" t="s">
        <v>611</v>
      </c>
      <c r="B470" s="75">
        <v>19</v>
      </c>
      <c r="C470" s="80">
        <v>3</v>
      </c>
      <c r="D470" s="2" t="s">
        <v>432</v>
      </c>
      <c r="E470" s="80"/>
      <c r="F470" s="18">
        <v>42302.68</v>
      </c>
      <c r="G470" s="18">
        <f>354.76+3135.91</f>
        <v>3490.67</v>
      </c>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6046324.6899999995</v>
      </c>
      <c r="G471" s="53">
        <f>SUM(G469:G470)</f>
        <v>152885.81</v>
      </c>
      <c r="H471" s="53">
        <f>SUM(H469:H470)</f>
        <v>454570.13</v>
      </c>
      <c r="I471" s="53">
        <f>SUM(I469:I470)</f>
        <v>0</v>
      </c>
      <c r="J471" s="53">
        <f>SUM(J469:J470)</f>
        <v>93491.55</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5984088.4+397.92</f>
        <v>5984486.3200000003</v>
      </c>
      <c r="G473" s="18">
        <v>142462.72</v>
      </c>
      <c r="H473" s="18">
        <f>454968.05-397.92</f>
        <v>454570.13</v>
      </c>
      <c r="I473" s="18"/>
      <c r="J473" s="18">
        <v>40000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5984486.3200000003</v>
      </c>
      <c r="G475" s="53">
        <f>SUM(G473:G474)</f>
        <v>142462.72</v>
      </c>
      <c r="H475" s="53">
        <f>SUM(H473:H474)</f>
        <v>454570.13</v>
      </c>
      <c r="I475" s="53">
        <f>SUM(I473:I474)</f>
        <v>0</v>
      </c>
      <c r="J475" s="53">
        <f>SUM(J473:J474)</f>
        <v>40000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933200.41999999899</v>
      </c>
      <c r="G477" s="53">
        <f>(G466+G471)- G475</f>
        <v>30323.109999999986</v>
      </c>
      <c r="H477" s="53">
        <f>(H466+H471)- H475</f>
        <v>0</v>
      </c>
      <c r="I477" s="53">
        <f>(I466+I471)- I475</f>
        <v>0</v>
      </c>
      <c r="J477" s="53">
        <f>(J466+J471)- J475</f>
        <v>711253.22000000009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132256.75+190172.31+6351.22+6695.19</f>
        <v>335475.46999999997</v>
      </c>
      <c r="G522" s="18">
        <f>36675.98+246+25719.85+25181.38+1721.89+2928.62</f>
        <v>92473.72</v>
      </c>
      <c r="H522" s="18">
        <f>22580.94+42508.8+77441.67+85.1</f>
        <v>142616.51</v>
      </c>
      <c r="I522" s="18">
        <f>508.06+131.32+355.5</f>
        <v>994.88</v>
      </c>
      <c r="J522" s="18">
        <v>10.82</v>
      </c>
      <c r="K522" s="18"/>
      <c r="L522" s="88">
        <f>SUM(F522:K522)</f>
        <v>571571.39999999991</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f>52090+42478.41</f>
        <v>94568.41</v>
      </c>
      <c r="G524" s="18">
        <f>12903.2+63+7234.48+9594.02+224.09+25.56</f>
        <v>30044.350000000002</v>
      </c>
      <c r="H524" s="18">
        <v>6627</v>
      </c>
      <c r="I524" s="18"/>
      <c r="J524" s="18"/>
      <c r="K524" s="18"/>
      <c r="L524" s="88">
        <f>SUM(F524:K524)</f>
        <v>131239.76</v>
      </c>
      <c r="N524" s="263"/>
    </row>
    <row r="525" spans="1:14" s="52" customFormat="1" ht="12.2" customHeight="1" thickTop="1" x14ac:dyDescent="0.2">
      <c r="A525" s="139" t="s">
        <v>63</v>
      </c>
      <c r="B525" s="107">
        <v>21</v>
      </c>
      <c r="C525" s="195">
        <v>4</v>
      </c>
      <c r="D525" s="196" t="s">
        <v>432</v>
      </c>
      <c r="E525" s="195"/>
      <c r="F525" s="108">
        <f>SUM(F522:F524)</f>
        <v>430043.88</v>
      </c>
      <c r="G525" s="108">
        <f t="shared" ref="G525:L525" si="36">SUM(G522:G524)</f>
        <v>122518.07</v>
      </c>
      <c r="H525" s="108">
        <f t="shared" si="36"/>
        <v>149243.51</v>
      </c>
      <c r="I525" s="108">
        <f t="shared" si="36"/>
        <v>994.88</v>
      </c>
      <c r="J525" s="108">
        <f t="shared" si="36"/>
        <v>10.82</v>
      </c>
      <c r="K525" s="108">
        <f t="shared" si="36"/>
        <v>0</v>
      </c>
      <c r="L525" s="89">
        <f t="shared" si="36"/>
        <v>702811.15999999992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21419.82+34826.88+1197.86+21081.45+1054.85</f>
        <v>79580.86</v>
      </c>
      <c r="G527" s="18">
        <f>4394.48+175.58+1693.39+56.99</f>
        <v>6320.44</v>
      </c>
      <c r="H527" s="18">
        <f>12091.33+4587.61+1215.5+33478.7</f>
        <v>51373.14</v>
      </c>
      <c r="I527" s="18">
        <f>744.96+536.79</f>
        <v>1281.75</v>
      </c>
      <c r="J527" s="18">
        <v>736</v>
      </c>
      <c r="K527" s="18">
        <f>390.08+99</f>
        <v>489.08</v>
      </c>
      <c r="L527" s="88">
        <f>SUM(F527:K527)</f>
        <v>139781.26999999999</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v>3094.39</v>
      </c>
      <c r="G529" s="18">
        <v>236.7</v>
      </c>
      <c r="H529" s="18">
        <f>2278.88+16046.05</f>
        <v>18324.93</v>
      </c>
      <c r="I529" s="18"/>
      <c r="J529" s="18"/>
      <c r="K529" s="18"/>
      <c r="L529" s="88">
        <f>SUM(F529:K529)</f>
        <v>21656.02</v>
      </c>
      <c r="M529" s="8"/>
      <c r="N529" s="264"/>
    </row>
    <row r="530" spans="1:14" s="3" customFormat="1" ht="12.2" customHeight="1" thickTop="1" x14ac:dyDescent="0.15">
      <c r="A530" s="139" t="s">
        <v>65</v>
      </c>
      <c r="B530" s="107">
        <v>21</v>
      </c>
      <c r="C530" s="107">
        <v>8</v>
      </c>
      <c r="D530" s="158" t="s">
        <v>432</v>
      </c>
      <c r="E530" s="107"/>
      <c r="F530" s="89">
        <f>SUM(F527:F529)</f>
        <v>82675.25</v>
      </c>
      <c r="G530" s="89">
        <f t="shared" ref="G530:L530" si="37">SUM(G527:G529)</f>
        <v>6557.1399999999994</v>
      </c>
      <c r="H530" s="89">
        <f t="shared" si="37"/>
        <v>69698.070000000007</v>
      </c>
      <c r="I530" s="89">
        <f t="shared" si="37"/>
        <v>1281.75</v>
      </c>
      <c r="J530" s="89">
        <f t="shared" si="37"/>
        <v>736</v>
      </c>
      <c r="K530" s="89">
        <f t="shared" si="37"/>
        <v>489.08</v>
      </c>
      <c r="L530" s="89">
        <f t="shared" si="37"/>
        <v>161437.28999999998</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37041.03</v>
      </c>
      <c r="I532" s="18"/>
      <c r="J532" s="18"/>
      <c r="K532" s="18"/>
      <c r="L532" s="88">
        <f>SUM(F532:K532)</f>
        <v>37041.03</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v>6536.65</v>
      </c>
      <c r="I534" s="18"/>
      <c r="J534" s="18"/>
      <c r="K534" s="18"/>
      <c r="L534" s="88">
        <f>SUM(F534:K534)</f>
        <v>6536.65</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43577.68</v>
      </c>
      <c r="I535" s="89">
        <f t="shared" si="38"/>
        <v>0</v>
      </c>
      <c r="J535" s="89">
        <f t="shared" si="38"/>
        <v>0</v>
      </c>
      <c r="K535" s="89">
        <f t="shared" si="38"/>
        <v>0</v>
      </c>
      <c r="L535" s="89">
        <f t="shared" si="38"/>
        <v>43577.68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674.27</v>
      </c>
      <c r="G542" s="18">
        <f>50.53+130.31</f>
        <v>180.84</v>
      </c>
      <c r="H542" s="18">
        <f>1726.24+2672.9</f>
        <v>4399.1400000000003</v>
      </c>
      <c r="I542" s="18">
        <v>225.51</v>
      </c>
      <c r="J542" s="18">
        <v>8963.1</v>
      </c>
      <c r="K542" s="18">
        <v>125</v>
      </c>
      <c r="L542" s="88">
        <f>SUM(F542:K542)</f>
        <v>14567.86</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v>6077.68</v>
      </c>
      <c r="G544" s="18">
        <v>464.94</v>
      </c>
      <c r="H544" s="18">
        <v>80</v>
      </c>
      <c r="I544" s="18">
        <v>16</v>
      </c>
      <c r="J544" s="18">
        <v>8963.1</v>
      </c>
      <c r="K544" s="18"/>
      <c r="L544" s="88">
        <f>SUM(F544:K544)</f>
        <v>15601.720000000001</v>
      </c>
      <c r="M544" s="8"/>
      <c r="N544" s="264"/>
    </row>
    <row r="545" spans="1:14" s="3" customFormat="1" ht="12.2" customHeight="1" thickTop="1" thickBot="1" x14ac:dyDescent="0.2">
      <c r="A545" s="130" t="s">
        <v>71</v>
      </c>
      <c r="B545" s="191">
        <v>21</v>
      </c>
      <c r="C545" s="191">
        <v>20</v>
      </c>
      <c r="D545" s="192" t="s">
        <v>432</v>
      </c>
      <c r="E545" s="191"/>
      <c r="F545" s="193">
        <f>SUM(F542:F544)</f>
        <v>6751.9500000000007</v>
      </c>
      <c r="G545" s="193">
        <f t="shared" ref="G545:L545" si="40">SUM(G542:G544)</f>
        <v>645.78</v>
      </c>
      <c r="H545" s="193">
        <f t="shared" si="40"/>
        <v>4479.1400000000003</v>
      </c>
      <c r="I545" s="193">
        <f t="shared" si="40"/>
        <v>241.51</v>
      </c>
      <c r="J545" s="193">
        <f t="shared" si="40"/>
        <v>17926.2</v>
      </c>
      <c r="K545" s="193">
        <f t="shared" si="40"/>
        <v>125</v>
      </c>
      <c r="L545" s="193">
        <f t="shared" si="40"/>
        <v>30169.58</v>
      </c>
      <c r="M545" s="8"/>
      <c r="N545" s="264"/>
    </row>
    <row r="546" spans="1:14" s="3" customFormat="1" ht="12.2" customHeight="1" thickTop="1" x14ac:dyDescent="0.15">
      <c r="A546" s="98" t="s">
        <v>72</v>
      </c>
      <c r="B546" s="107">
        <v>21</v>
      </c>
      <c r="C546" s="107">
        <v>21</v>
      </c>
      <c r="D546" s="158" t="s">
        <v>432</v>
      </c>
      <c r="E546" s="107"/>
      <c r="F546" s="89">
        <f>F525+F530+F535+F540+F545</f>
        <v>519471.08</v>
      </c>
      <c r="G546" s="89">
        <f t="shared" ref="G546:L546" si="41">G525+G530+G535+G540+G545</f>
        <v>129720.99</v>
      </c>
      <c r="H546" s="89">
        <f t="shared" si="41"/>
        <v>266998.40000000002</v>
      </c>
      <c r="I546" s="89">
        <f t="shared" si="41"/>
        <v>2518.1400000000003</v>
      </c>
      <c r="J546" s="89">
        <f t="shared" si="41"/>
        <v>18673.02</v>
      </c>
      <c r="K546" s="89">
        <f t="shared" si="41"/>
        <v>614.07999999999993</v>
      </c>
      <c r="L546" s="89">
        <f t="shared" si="41"/>
        <v>937995.71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571571.39999999991</v>
      </c>
      <c r="G550" s="87">
        <f>L527</f>
        <v>139781.26999999999</v>
      </c>
      <c r="H550" s="87">
        <f>L532</f>
        <v>37041.03</v>
      </c>
      <c r="I550" s="87">
        <f>L537</f>
        <v>0</v>
      </c>
      <c r="J550" s="87">
        <f>L542</f>
        <v>14567.86</v>
      </c>
      <c r="K550" s="87">
        <f>SUM(F550:J550)</f>
        <v>762961.55999999994</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131239.76</v>
      </c>
      <c r="G552" s="87">
        <f>L529</f>
        <v>21656.02</v>
      </c>
      <c r="H552" s="87">
        <f>L534</f>
        <v>6536.65</v>
      </c>
      <c r="I552" s="87">
        <f>L539</f>
        <v>0</v>
      </c>
      <c r="J552" s="87">
        <f>L544</f>
        <v>15601.720000000001</v>
      </c>
      <c r="K552" s="87">
        <f>SUM(F552:J552)</f>
        <v>175034.15</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702811.15999999992</v>
      </c>
      <c r="G553" s="89">
        <f t="shared" si="42"/>
        <v>161437.28999999998</v>
      </c>
      <c r="H553" s="89">
        <f t="shared" si="42"/>
        <v>43577.68</v>
      </c>
      <c r="I553" s="89">
        <f t="shared" si="42"/>
        <v>0</v>
      </c>
      <c r="J553" s="89">
        <f t="shared" si="42"/>
        <v>30169.58</v>
      </c>
      <c r="K553" s="89">
        <f t="shared" si="42"/>
        <v>937995.71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42508.800000000003</v>
      </c>
      <c r="G583" s="18"/>
      <c r="H583" s="18"/>
      <c r="I583" s="87">
        <f t="shared" si="47"/>
        <v>42508.800000000003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77441.67</v>
      </c>
      <c r="G584" s="18"/>
      <c r="H584" s="18"/>
      <c r="I584" s="87">
        <f t="shared" si="47"/>
        <v>77441.67</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v>27300</v>
      </c>
      <c r="I586" s="87">
        <f t="shared" si="47"/>
        <v>27300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107517.73</v>
      </c>
      <c r="I592" s="18"/>
      <c r="J592" s="18">
        <v>103779.01</v>
      </c>
      <c r="K592" s="104">
        <f t="shared" ref="K592:K598" si="48">SUM(H592:J592)</f>
        <v>211296.74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14567.86</v>
      </c>
      <c r="I593" s="18"/>
      <c r="J593" s="18">
        <v>15601.72</v>
      </c>
      <c r="K593" s="104">
        <f t="shared" si="48"/>
        <v>30169.58</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2424.5100000000002</v>
      </c>
      <c r="K594" s="104">
        <f t="shared" si="48"/>
        <v>2424.5100000000002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3179.95</v>
      </c>
      <c r="I595" s="18"/>
      <c r="J595" s="18">
        <v>19934.04</v>
      </c>
      <c r="K595" s="104">
        <f t="shared" si="48"/>
        <v>23113.99</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387.75</v>
      </c>
      <c r="I596" s="18"/>
      <c r="J596" s="18">
        <v>272.5</v>
      </c>
      <c r="K596" s="104">
        <f t="shared" si="48"/>
        <v>660.25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125653.29</v>
      </c>
      <c r="I599" s="108">
        <f>SUM(I592:I598)</f>
        <v>0</v>
      </c>
      <c r="J599" s="108">
        <f>SUM(J592:J598)</f>
        <v>142011.78</v>
      </c>
      <c r="K599" s="108">
        <f>SUM(K592:K598)</f>
        <v>267665.07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228817</v>
      </c>
      <c r="I605" s="18"/>
      <c r="J605" s="18">
        <f>12378.55+86173.55</f>
        <v>98552.1</v>
      </c>
      <c r="K605" s="104">
        <f>SUM(H605:J605)</f>
        <v>327369.09999999998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228817</v>
      </c>
      <c r="I606" s="108">
        <f>SUM(I603:I605)</f>
        <v>0</v>
      </c>
      <c r="J606" s="108">
        <f>SUM(J603:J605)</f>
        <v>98552.1</v>
      </c>
      <c r="K606" s="108">
        <f>SUM(K603:K605)</f>
        <v>327369.09999999998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v>3155</v>
      </c>
      <c r="G614" s="18">
        <v>576.64</v>
      </c>
      <c r="H614" s="18"/>
      <c r="I614" s="18"/>
      <c r="J614" s="18"/>
      <c r="K614" s="18"/>
      <c r="L614" s="88">
        <f>SUM(F614:K614)</f>
        <v>3731.64</v>
      </c>
      <c r="M614" s="8"/>
      <c r="N614" s="264"/>
    </row>
    <row r="615" spans="1:14" s="3" customFormat="1" ht="12.2" customHeight="1" thickTop="1" x14ac:dyDescent="0.15">
      <c r="A615" s="98" t="s">
        <v>340</v>
      </c>
      <c r="B615" s="107">
        <v>23</v>
      </c>
      <c r="C615" s="107">
        <v>16</v>
      </c>
      <c r="D615" s="39" t="s">
        <v>432</v>
      </c>
      <c r="E615" s="107"/>
      <c r="F615" s="108">
        <f t="shared" ref="F615:L615" si="49">SUM(F612:F614)</f>
        <v>3155</v>
      </c>
      <c r="G615" s="108">
        <f t="shared" si="49"/>
        <v>576.64</v>
      </c>
      <c r="H615" s="108">
        <f t="shared" si="49"/>
        <v>0</v>
      </c>
      <c r="I615" s="108">
        <f t="shared" si="49"/>
        <v>0</v>
      </c>
      <c r="J615" s="108">
        <f t="shared" si="49"/>
        <v>0</v>
      </c>
      <c r="K615" s="108">
        <f t="shared" si="49"/>
        <v>0</v>
      </c>
      <c r="L615" s="89">
        <f t="shared" si="49"/>
        <v>3731.64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1358565.71</v>
      </c>
      <c r="H618" s="109">
        <f>SUM(F52)</f>
        <v>1358565.71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46110.45</v>
      </c>
      <c r="H619" s="109">
        <f>SUM(G52)</f>
        <v>46110.449999999983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108346.57</v>
      </c>
      <c r="H620" s="109">
        <f>SUM(H52)</f>
        <v>108346.56999999999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711253.22</v>
      </c>
      <c r="H622" s="109">
        <f>SUM(J52)</f>
        <v>711253.22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933200.41999999993</v>
      </c>
      <c r="H623" s="109">
        <f>F477</f>
        <v>933200.41999999899</v>
      </c>
      <c r="I623" s="121" t="s">
        <v>101</v>
      </c>
      <c r="J623" s="109">
        <f t="shared" ref="J623:J656" si="50">G623-H623</f>
        <v>9.3132257461547852E-10</v>
      </c>
      <c r="K623" s="109"/>
      <c r="L623" s="109"/>
      <c r="M623" s="8"/>
    </row>
    <row r="624" spans="1:14" s="3" customFormat="1" ht="12.2" customHeight="1" x14ac:dyDescent="0.15">
      <c r="A624" s="97"/>
      <c r="B624" s="105"/>
      <c r="C624" s="119"/>
      <c r="D624" s="119"/>
      <c r="E624" s="119"/>
      <c r="F624" s="119" t="s">
        <v>866</v>
      </c>
      <c r="G624" s="109">
        <f>G51</f>
        <v>30323.109999999986</v>
      </c>
      <c r="H624" s="109">
        <f>G477</f>
        <v>30323.109999999986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711253.22</v>
      </c>
      <c r="H627" s="109">
        <f>J477</f>
        <v>711253.22000000009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6004022.0099999998</v>
      </c>
      <c r="H628" s="104">
        <f>SUM(F469)</f>
        <v>6004022.0099999998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149395.14000000001</v>
      </c>
      <c r="H629" s="104">
        <f>SUM(G469)</f>
        <v>149395.13999999998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454570.12999999995</v>
      </c>
      <c r="H630" s="104">
        <f>SUM(H469)</f>
        <v>454570.13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93491.55</v>
      </c>
      <c r="H632" s="104">
        <f>SUM(J469)</f>
        <v>93491.55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5984486.3199999994</v>
      </c>
      <c r="H633" s="104">
        <f>SUM(F473)</f>
        <v>5984486.3200000003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454570.13</v>
      </c>
      <c r="H634" s="104">
        <f>SUM(H473)</f>
        <v>454570.13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3178.5200000000004</v>
      </c>
      <c r="H635" s="104">
        <f>I370</f>
        <v>3178.5200000000004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142462.72</v>
      </c>
      <c r="H636" s="104">
        <f>SUM(G473)</f>
        <v>142462.72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93491.550000000017</v>
      </c>
      <c r="H638" s="164">
        <f>SUM(J469)</f>
        <v>93491.55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40000</v>
      </c>
      <c r="H639" s="164">
        <f>SUM(J473)</f>
        <v>40000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686253.22</v>
      </c>
      <c r="H641" s="104">
        <f>SUM(G462)</f>
        <v>686253.22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25000</v>
      </c>
      <c r="H642" s="104">
        <f>SUM(H462)</f>
        <v>25000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711253.22</v>
      </c>
      <c r="H643" s="104">
        <f>SUM(I462)</f>
        <v>711253.22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8491.5499999999993</v>
      </c>
      <c r="H645" s="104">
        <f>H409</f>
        <v>8491.5499999999993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85000</v>
      </c>
      <c r="H646" s="104">
        <f>G409</f>
        <v>85000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93491.55</v>
      </c>
      <c r="H647" s="104">
        <f>L409</f>
        <v>93491.550000000017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267665.07</v>
      </c>
      <c r="H648" s="104">
        <f>L209+L227+L245</f>
        <v>267665.06999999995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327369.09999999998</v>
      </c>
      <c r="H649" s="104">
        <f>(J258+J339)-(J256+J337)</f>
        <v>327369.09999999998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125653.29000000001</v>
      </c>
      <c r="H650" s="104">
        <f>H599</f>
        <v>125653.29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142011.77999999997</v>
      </c>
      <c r="H652" s="104">
        <f>J599</f>
        <v>142011.78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50000</v>
      </c>
      <c r="H653" s="104">
        <f>K264+K346</f>
        <v>50000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85000</v>
      </c>
      <c r="H656" s="104">
        <f>K267+K348</f>
        <v>85000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4026060.61</v>
      </c>
      <c r="G661" s="19">
        <f>(L230+L310+L360)</f>
        <v>0</v>
      </c>
      <c r="H661" s="19">
        <f>(L248+L329+L361)</f>
        <v>2395998.96</v>
      </c>
      <c r="I661" s="19">
        <f>SUM(F661:H661)</f>
        <v>6422059.5700000003</v>
      </c>
      <c r="J661" s="13"/>
      <c r="K661" s="13"/>
      <c r="L661" s="13"/>
      <c r="M661" s="9"/>
    </row>
    <row r="662" spans="1:13" s="3" customFormat="1" ht="12.2" customHeight="1" x14ac:dyDescent="0.2">
      <c r="A662" s="1" t="s">
        <v>127</v>
      </c>
      <c r="F662" s="19">
        <f>(L359/IF(SUM(L359:L361)=0,1,SUM(L359:L361))*(SUM(G97:G110)))</f>
        <v>1533.9957708128834</v>
      </c>
      <c r="G662" s="19">
        <f>(L360/IF(SUM(L359:L361)=0,1,SUM(L359:L361))*(SUM(G97:G110)))</f>
        <v>0</v>
      </c>
      <c r="H662" s="19">
        <f>(L361/IF(SUM(L359:L361)=0,1,SUM(L359:L361))*(SUM(G97:G110)))</f>
        <v>854.89422918711637</v>
      </c>
      <c r="I662" s="19">
        <f>SUM(F662:H662)</f>
        <v>2388.89</v>
      </c>
      <c r="J662"/>
      <c r="K662" s="13"/>
      <c r="L662" s="13"/>
      <c r="M662" s="8"/>
    </row>
    <row r="663" spans="1:13" s="3" customFormat="1" ht="12.2" customHeight="1" x14ac:dyDescent="0.2">
      <c r="A663" s="1" t="s">
        <v>128</v>
      </c>
      <c r="F663" s="19">
        <f>(L209+L288)-(J209+J288)</f>
        <v>116690.19</v>
      </c>
      <c r="G663" s="19">
        <f>(L227+L307)-(J227+J307)</f>
        <v>0</v>
      </c>
      <c r="H663" s="19">
        <f>(L245+L326)-(J245+J326)</f>
        <v>91220.879999999976</v>
      </c>
      <c r="I663" s="19">
        <f>SUM(F663:H663)</f>
        <v>207911.06999999998</v>
      </c>
      <c r="J663"/>
      <c r="K663" s="13"/>
      <c r="L663" s="13"/>
      <c r="M663" s="9"/>
    </row>
    <row r="664" spans="1:13" s="3" customFormat="1" ht="12.2" customHeight="1" x14ac:dyDescent="0.15">
      <c r="A664" s="198" t="s">
        <v>129</v>
      </c>
      <c r="B664" s="169"/>
      <c r="C664" s="169"/>
      <c r="D664" s="169"/>
      <c r="E664" s="169"/>
      <c r="F664" s="199">
        <f>SUM(F576:F588)+SUM(H603:H605)+SUM(L612)</f>
        <v>348767.47</v>
      </c>
      <c r="G664" s="199">
        <f>SUM(G576:G588)+SUM(I603:I605)+L613</f>
        <v>0</v>
      </c>
      <c r="H664" s="199">
        <f>SUM(H576:H588)+SUM(J603:J605)+L614</f>
        <v>129583.74</v>
      </c>
      <c r="I664" s="19">
        <f>SUM(F664:H664)</f>
        <v>478351.20999999996</v>
      </c>
      <c r="J664" s="13"/>
      <c r="K664" s="13"/>
      <c r="L664" s="13"/>
      <c r="M664" s="9"/>
    </row>
    <row r="665" spans="1:13" s="3" customFormat="1" ht="12.2" customHeight="1" x14ac:dyDescent="0.15">
      <c r="A665" s="1" t="s">
        <v>130</v>
      </c>
      <c r="F665" s="19">
        <f>F661-SUM(F662:F664)</f>
        <v>3559068.9542291872</v>
      </c>
      <c r="G665" s="19">
        <f>G661-SUM(G662:G664)</f>
        <v>0</v>
      </c>
      <c r="H665" s="19">
        <f>H661-SUM(H662:H664)</f>
        <v>2174339.4457708127</v>
      </c>
      <c r="I665" s="19">
        <f>I661-SUM(I662:I664)</f>
        <v>5733408.4000000004</v>
      </c>
      <c r="J665" s="13"/>
      <c r="K665" s="13"/>
      <c r="L665" s="13"/>
      <c r="M665" s="8"/>
    </row>
    <row r="666" spans="1:13" s="3" customFormat="1" ht="12.2" customHeight="1" x14ac:dyDescent="0.25">
      <c r="A666" s="1" t="s">
        <v>131</v>
      </c>
      <c r="F666" s="360">
        <v>194.11</v>
      </c>
      <c r="G666" s="360">
        <v>0</v>
      </c>
      <c r="H666" s="360">
        <v>97.76</v>
      </c>
      <c r="I666" s="19">
        <f>SUM(F666:H666)</f>
        <v>291.87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18335.32</v>
      </c>
      <c r="G668" s="19" t="e">
        <f>ROUND(G665/G666,2)</f>
        <v>#DIV/0!</v>
      </c>
      <c r="H668" s="19">
        <f>ROUND(H665/H666,2)</f>
        <v>22241.61</v>
      </c>
      <c r="I668" s="19">
        <f>ROUND(I665/I666,2)</f>
        <v>19643.71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-2.33</v>
      </c>
      <c r="I671" s="19">
        <f>SUM(F671:H671)</f>
        <v>-2.33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18335.32</v>
      </c>
      <c r="G673" s="19" t="e">
        <f>ROUND((G665+G670)/(G666+G671),2)</f>
        <v>#DIV/0!</v>
      </c>
      <c r="H673" s="19">
        <f>ROUND((H665+H670)/(H666+H671),2)</f>
        <v>22784.65</v>
      </c>
      <c r="I673" s="19">
        <f>ROUND((I665+I670)/(I666+I671),2)</f>
        <v>19801.78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F13" sqref="F1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115049.04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59">
        <v>87812</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22515.91</v>
      </c>
      <c r="F22" s="346"/>
    </row>
    <row r="23" spans="2:8" x14ac:dyDescent="0.25">
      <c r="B23" s="346"/>
      <c r="C23" s="346"/>
      <c r="D23" s="346"/>
      <c r="E23" s="346"/>
      <c r="F23" s="346"/>
    </row>
    <row r="24" spans="2:8" ht="26.25" customHeight="1" x14ac:dyDescent="0.25">
      <c r="B24" s="346"/>
      <c r="C24" s="348" t="s">
        <v>1661</v>
      </c>
      <c r="D24" s="346"/>
      <c r="E24" s="341">
        <v>10325.030000000001</v>
      </c>
      <c r="F24" s="346"/>
    </row>
    <row r="25" spans="2:8" ht="18" x14ac:dyDescent="0.25">
      <c r="B25" s="346"/>
      <c r="C25" s="349"/>
      <c r="D25" s="346"/>
      <c r="E25" s="346"/>
      <c r="F25" s="346"/>
    </row>
    <row r="26" spans="2:8" ht="27.75" customHeight="1" x14ac:dyDescent="0.25">
      <c r="B26" s="346"/>
      <c r="C26" s="348" t="s">
        <v>1662</v>
      </c>
      <c r="D26" s="346"/>
      <c r="E26" s="341">
        <v>12190.88</v>
      </c>
      <c r="F26" s="346"/>
    </row>
    <row r="27" spans="2:8" x14ac:dyDescent="0.25">
      <c r="B27" s="346"/>
      <c r="C27" s="348"/>
      <c r="D27" s="346"/>
      <c r="E27" s="346"/>
      <c r="F27" s="346"/>
    </row>
    <row r="28" spans="2:8" ht="15.75" customHeight="1" x14ac:dyDescent="0.25">
      <c r="B28" s="346"/>
      <c r="C28" s="348" t="s">
        <v>1663</v>
      </c>
      <c r="D28" s="346"/>
      <c r="E28" s="342">
        <v>189774.62</v>
      </c>
      <c r="F28" s="346"/>
    </row>
    <row r="29" spans="2:8" x14ac:dyDescent="0.25">
      <c r="B29" s="346"/>
      <c r="C29" s="346"/>
      <c r="D29" s="346"/>
      <c r="E29" s="346"/>
      <c r="F29" s="346"/>
    </row>
    <row r="30" spans="2:8" ht="16.5" customHeight="1" x14ac:dyDescent="0.25">
      <c r="B30" s="346"/>
      <c r="C30" s="348" t="s">
        <v>1664</v>
      </c>
      <c r="D30" s="346"/>
      <c r="E30" s="341">
        <v>178815.07</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COLEBROOK SCHOOL DISTRICT</v>
      </c>
      <c r="C5" s="364"/>
      <c r="D5" s="364"/>
      <c r="E5" s="364"/>
      <c r="F5" s="364"/>
    </row>
    <row r="8" spans="1:9" ht="18" x14ac:dyDescent="0.25">
      <c r="A8" s="317" t="s">
        <v>1576</v>
      </c>
      <c r="F8" s="324" t="s">
        <v>1594</v>
      </c>
    </row>
    <row r="9" spans="1:9" ht="15" x14ac:dyDescent="0.2">
      <c r="A9" s="315" t="s">
        <v>1577</v>
      </c>
      <c r="B9" s="318">
        <f>'DOE25'!G97</f>
        <v>2388.89</v>
      </c>
      <c r="F9" s="315" t="s">
        <v>1590</v>
      </c>
    </row>
    <row r="10" spans="1:9" ht="15" x14ac:dyDescent="0.2">
      <c r="A10" s="315" t="s">
        <v>1578</v>
      </c>
      <c r="B10" s="318">
        <f>'DOE25'!G112-'DOE25'!G97</f>
        <v>0</v>
      </c>
      <c r="F10" s="315" t="s">
        <v>1591</v>
      </c>
    </row>
    <row r="11" spans="1:9" ht="15" x14ac:dyDescent="0.2">
      <c r="A11" s="315" t="s">
        <v>1579</v>
      </c>
      <c r="B11" s="318">
        <f>'DOE25'!G140</f>
        <v>2787.3500000000004</v>
      </c>
      <c r="F11" s="315" t="s">
        <v>1592</v>
      </c>
    </row>
    <row r="12" spans="1:9" ht="15" x14ac:dyDescent="0.2">
      <c r="A12" s="315" t="s">
        <v>1580</v>
      </c>
      <c r="B12" s="318">
        <f>'DOE25'!G170</f>
        <v>94218.9</v>
      </c>
      <c r="F12" s="315" t="s">
        <v>1593</v>
      </c>
    </row>
    <row r="13" spans="1:9" ht="15" x14ac:dyDescent="0.2">
      <c r="A13" s="315" t="s">
        <v>1581</v>
      </c>
      <c r="B13" s="318">
        <f>'DOE25'!G193-'DOE25'!G180</f>
        <v>0</v>
      </c>
      <c r="F13" s="315" t="s">
        <v>1603</v>
      </c>
    </row>
    <row r="14" spans="1:9" ht="18" x14ac:dyDescent="0.25">
      <c r="A14" s="317" t="s">
        <v>732</v>
      </c>
      <c r="B14" s="319">
        <f>SUM(B9:B13)</f>
        <v>99395.14</v>
      </c>
    </row>
    <row r="16" spans="1:9" ht="18" x14ac:dyDescent="0.25">
      <c r="A16" s="317" t="s">
        <v>786</v>
      </c>
      <c r="F16" s="324" t="s">
        <v>1595</v>
      </c>
    </row>
    <row r="17" spans="1:6" ht="15" x14ac:dyDescent="0.2">
      <c r="A17" s="315" t="s">
        <v>1582</v>
      </c>
      <c r="B17" s="318">
        <f>'DOE25'!L363-'DOE25'!L362</f>
        <v>142462.72</v>
      </c>
      <c r="F17" s="315" t="s">
        <v>1596</v>
      </c>
    </row>
    <row r="18" spans="1:6" ht="15" x14ac:dyDescent="0.2">
      <c r="A18" s="315" t="s">
        <v>1583</v>
      </c>
      <c r="B18" s="328">
        <v>0</v>
      </c>
      <c r="F18" s="324" t="s">
        <v>1620</v>
      </c>
    </row>
    <row r="19" spans="1:6" ht="18" x14ac:dyDescent="0.25">
      <c r="A19" s="317" t="s">
        <v>725</v>
      </c>
      <c r="B19" s="319">
        <f>SUM(B17:B18)</f>
        <v>142462.72</v>
      </c>
    </row>
    <row r="21" spans="1:6" ht="18.75" thickBot="1" x14ac:dyDescent="0.3">
      <c r="A21" s="317" t="s">
        <v>1584</v>
      </c>
    </row>
    <row r="22" spans="1:6" ht="18.75" thickTop="1" x14ac:dyDescent="0.25">
      <c r="A22" s="317" t="s">
        <v>1585</v>
      </c>
      <c r="B22" s="323">
        <f>B14-B19</f>
        <v>-43067.58</v>
      </c>
      <c r="F22" s="315" t="s">
        <v>1597</v>
      </c>
    </row>
    <row r="26" spans="1:6" ht="18" x14ac:dyDescent="0.25">
      <c r="A26" s="317" t="s">
        <v>186</v>
      </c>
    </row>
    <row r="27" spans="1:6" ht="15" x14ac:dyDescent="0.2">
      <c r="A27" s="315" t="s">
        <v>1586</v>
      </c>
      <c r="B27" s="318">
        <f>'DOE25'!G180</f>
        <v>50000</v>
      </c>
      <c r="F27" s="315" t="s">
        <v>1598</v>
      </c>
    </row>
    <row r="28" spans="1:6" ht="15" x14ac:dyDescent="0.2">
      <c r="A28" s="315" t="s">
        <v>1588</v>
      </c>
      <c r="B28" s="318">
        <f>'DOE25'!L362</f>
        <v>0</v>
      </c>
      <c r="F28" s="315" t="s">
        <v>1599</v>
      </c>
    </row>
    <row r="31" spans="1:6" ht="15" x14ac:dyDescent="0.2">
      <c r="A31" s="315" t="s">
        <v>1628</v>
      </c>
      <c r="B31" s="318">
        <f>'DOE25'!G466</f>
        <v>19900.02</v>
      </c>
      <c r="F31" s="315" t="s">
        <v>1600</v>
      </c>
    </row>
    <row r="33" spans="1:6" ht="15" x14ac:dyDescent="0.2">
      <c r="A33" s="315" t="s">
        <v>1629</v>
      </c>
      <c r="B33" s="318">
        <f>'DOE25'!G477</f>
        <v>30323.109999999986</v>
      </c>
      <c r="F33" s="315" t="s">
        <v>1601</v>
      </c>
    </row>
    <row r="36" spans="1:6" ht="15" x14ac:dyDescent="0.2">
      <c r="A36" s="315" t="s">
        <v>1587</v>
      </c>
      <c r="B36" s="329">
        <v>16081.15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32" sqref="G3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COLEBROOK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1314241.96</v>
      </c>
      <c r="C9" s="229">
        <f>'DOE25'!G198+'DOE25'!G216+'DOE25'!G234+'DOE25'!G277+'DOE25'!G296+'DOE25'!G315</f>
        <v>765125.77</v>
      </c>
    </row>
    <row r="10" spans="1:3" x14ac:dyDescent="0.2">
      <c r="A10" t="s">
        <v>775</v>
      </c>
      <c r="B10" s="240">
        <f>625880.74+6997.81+88050+61340+20+472215.97+3290.75</f>
        <v>1257795.27</v>
      </c>
      <c r="C10" s="240">
        <f>172012.37+6451.6+28708.55+965.36+63+126+155161.8+579.26+396542.1</f>
        <v>760610.03999999992</v>
      </c>
    </row>
    <row r="11" spans="1:3" x14ac:dyDescent="0.2">
      <c r="A11" t="s">
        <v>776</v>
      </c>
      <c r="B11" s="240"/>
      <c r="C11" s="240"/>
    </row>
    <row r="12" spans="1:3" x14ac:dyDescent="0.2">
      <c r="A12" t="s">
        <v>777</v>
      </c>
      <c r="B12" s="240">
        <f>30835.61+25611.08</f>
        <v>56446.69</v>
      </c>
      <c r="C12" s="240">
        <v>4515.7299999999996</v>
      </c>
    </row>
    <row r="13" spans="1:3" x14ac:dyDescent="0.2">
      <c r="A13" t="str">
        <f>IF(B9=B13,IF(C9=C13,"Check Total OK","Check Total Error"),"Check Total Error")</f>
        <v>Check Total OK</v>
      </c>
      <c r="B13" s="231">
        <f>SUM(B10:B12)</f>
        <v>1314241.96</v>
      </c>
      <c r="C13" s="231">
        <f>SUM(C10:C12)</f>
        <v>765125.7699999999</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479197.13</v>
      </c>
      <c r="C18" s="229">
        <f>'DOE25'!G199+'DOE25'!G217+'DOE25'!G235+'DOE25'!G278+'DOE25'!G297+'DOE25'!G316</f>
        <v>139865.01</v>
      </c>
    </row>
    <row r="19" spans="1:3" x14ac:dyDescent="0.2">
      <c r="A19" t="s">
        <v>775</v>
      </c>
      <c r="B19" s="240">
        <f>132256.75+52090+18900+30253.25</f>
        <v>233500</v>
      </c>
      <c r="C19" s="240">
        <f>36575.98+4516.12+246+21+78828.54</f>
        <v>120187.64</v>
      </c>
    </row>
    <row r="20" spans="1:3" x14ac:dyDescent="0.2">
      <c r="A20" t="s">
        <v>776</v>
      </c>
      <c r="B20" s="240">
        <f>190172.31+6351.22+42478.41</f>
        <v>239001.94</v>
      </c>
      <c r="C20" s="240">
        <v>19120.150000000001</v>
      </c>
    </row>
    <row r="21" spans="1:3" x14ac:dyDescent="0.2">
      <c r="A21" t="s">
        <v>777</v>
      </c>
      <c r="B21" s="240">
        <v>6695.19</v>
      </c>
      <c r="C21" s="240">
        <v>557.22</v>
      </c>
    </row>
    <row r="22" spans="1:3" x14ac:dyDescent="0.2">
      <c r="A22" t="str">
        <f>IF(B18=B22,IF(C18=C22,"Check Total OK","Check Total Error"),"Check Total Error")</f>
        <v>Check Total OK</v>
      </c>
      <c r="B22" s="231">
        <f>SUM(B19:B21)</f>
        <v>479197.13</v>
      </c>
      <c r="C22" s="231">
        <f>SUM(C19:C21)</f>
        <v>139865.01</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93652</v>
      </c>
      <c r="C36" s="235">
        <f>'DOE25'!G201+'DOE25'!G219+'DOE25'!G237+'DOE25'!G280+'DOE25'!G299+'DOE25'!G318</f>
        <v>12594.65</v>
      </c>
    </row>
    <row r="37" spans="1:3" x14ac:dyDescent="0.2">
      <c r="A37" t="s">
        <v>775</v>
      </c>
      <c r="B37" s="240">
        <f>1280+6515+17271+1875</f>
        <v>26941</v>
      </c>
      <c r="C37" s="240">
        <v>7723.98</v>
      </c>
    </row>
    <row r="38" spans="1:3" x14ac:dyDescent="0.2">
      <c r="A38" t="s">
        <v>776</v>
      </c>
      <c r="B38" s="240"/>
      <c r="C38" s="240"/>
    </row>
    <row r="39" spans="1:3" x14ac:dyDescent="0.2">
      <c r="A39" t="s">
        <v>777</v>
      </c>
      <c r="B39" s="240">
        <f>23882.2+42378.8+450</f>
        <v>66711</v>
      </c>
      <c r="C39" s="240">
        <v>4870.67</v>
      </c>
    </row>
    <row r="40" spans="1:3" x14ac:dyDescent="0.2">
      <c r="A40" t="str">
        <f>IF(B36=B40,IF(C36=C40,"Check Total OK","Check Total Error"),"Check Total Error")</f>
        <v>Check Total OK</v>
      </c>
      <c r="B40" s="231">
        <f>SUM(B37:B39)</f>
        <v>93652</v>
      </c>
      <c r="C40" s="231">
        <f>SUM(C37:C39)</f>
        <v>12594.65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COLEBROOK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3007696.6999999997</v>
      </c>
      <c r="D5" s="20">
        <f>SUM('DOE25'!L198:L201)+SUM('DOE25'!L216:L219)+SUM('DOE25'!L234:L237)-F5-G5-H5</f>
        <v>2984938.96</v>
      </c>
      <c r="E5" s="243"/>
      <c r="F5" s="244"/>
      <c r="G5" s="53">
        <f>SUM('DOE25'!J198:J201)+SUM('DOE25'!J216:J219)+SUM('DOE25'!J234:J237)</f>
        <v>5513.88</v>
      </c>
      <c r="H5" s="53">
        <f>SUM('DOE25'!K198:K201)+SUM('DOE25'!K216:K219)+SUM('DOE25'!K234:K237)</f>
        <v>17243.86</v>
      </c>
      <c r="I5" s="254"/>
    </row>
    <row r="6" spans="1:9" x14ac:dyDescent="0.2">
      <c r="A6" s="32">
        <v>2100</v>
      </c>
      <c r="B6" t="s">
        <v>796</v>
      </c>
      <c r="C6" s="273">
        <f t="shared" si="0"/>
        <v>588010.52</v>
      </c>
      <c r="D6" s="20">
        <f>'DOE25'!L203+'DOE25'!L221+'DOE25'!L239-F6-G6-H6</f>
        <v>486760.19000000006</v>
      </c>
      <c r="E6" s="243"/>
      <c r="F6" s="244">
        <f>29247.5</f>
        <v>29247.5</v>
      </c>
      <c r="G6" s="53">
        <f>'DOE25'!J203+'DOE25'!J221+'DOE25'!J239</f>
        <v>53393.97</v>
      </c>
      <c r="H6" s="53">
        <f>'DOE25'!K203+'DOE25'!K221+'DOE25'!K239</f>
        <v>18608.86</v>
      </c>
      <c r="I6" s="254"/>
    </row>
    <row r="7" spans="1:9" x14ac:dyDescent="0.2">
      <c r="A7" s="32">
        <v>2200</v>
      </c>
      <c r="B7" t="s">
        <v>821</v>
      </c>
      <c r="C7" s="273">
        <f t="shared" si="0"/>
        <v>96264.72</v>
      </c>
      <c r="D7" s="20">
        <f>'DOE25'!L204+'DOE25'!L222+'DOE25'!L240-F7-G7-H7</f>
        <v>94489.72</v>
      </c>
      <c r="E7" s="243"/>
      <c r="F7" s="244"/>
      <c r="G7" s="53">
        <f>'DOE25'!J204+'DOE25'!J222+'DOE25'!J240</f>
        <v>0</v>
      </c>
      <c r="H7" s="53">
        <f>'DOE25'!K204+'DOE25'!K222+'DOE25'!K240</f>
        <v>1775</v>
      </c>
      <c r="I7" s="254"/>
    </row>
    <row r="8" spans="1:9" x14ac:dyDescent="0.2">
      <c r="A8" s="32">
        <v>2300</v>
      </c>
      <c r="B8" t="s">
        <v>797</v>
      </c>
      <c r="C8" s="273">
        <f t="shared" si="0"/>
        <v>385873.79000000004</v>
      </c>
      <c r="D8" s="243"/>
      <c r="E8" s="20">
        <f>'DOE25'!L205+'DOE25'!L223+'DOE25'!L241-F8-G8-H8-D9-D11</f>
        <v>365999.92000000004</v>
      </c>
      <c r="F8" s="244">
        <f>16013.5</f>
        <v>16013.5</v>
      </c>
      <c r="G8" s="53">
        <f>'DOE25'!J205+'DOE25'!J223+'DOE25'!J241</f>
        <v>0</v>
      </c>
      <c r="H8" s="53">
        <f>'DOE25'!K205+'DOE25'!K223+'DOE25'!K241</f>
        <v>3860.37</v>
      </c>
      <c r="I8" s="254"/>
    </row>
    <row r="9" spans="1:9" ht="14.25" x14ac:dyDescent="0.2">
      <c r="A9" s="32">
        <v>2310</v>
      </c>
      <c r="B9" s="185" t="s">
        <v>888</v>
      </c>
      <c r="C9" s="273">
        <f t="shared" si="0"/>
        <v>97921.68</v>
      </c>
      <c r="D9" s="244">
        <f>34037.02+63884.66</f>
        <v>97921.68</v>
      </c>
      <c r="E9" s="243"/>
      <c r="F9" s="251"/>
      <c r="G9" s="251"/>
      <c r="H9" s="251"/>
      <c r="I9" s="254"/>
    </row>
    <row r="10" spans="1:9" ht="14.25" x14ac:dyDescent="0.2">
      <c r="A10" s="32">
        <v>2317</v>
      </c>
      <c r="B10" s="185" t="s">
        <v>889</v>
      </c>
      <c r="C10" s="273">
        <f t="shared" si="0"/>
        <v>12630</v>
      </c>
      <c r="D10" s="243"/>
      <c r="E10" s="244">
        <v>12630</v>
      </c>
      <c r="F10" s="251"/>
      <c r="G10" s="251"/>
      <c r="H10" s="251"/>
      <c r="I10" s="254"/>
    </row>
    <row r="11" spans="1:9" ht="14.25" x14ac:dyDescent="0.2">
      <c r="A11" s="32">
        <v>2321</v>
      </c>
      <c r="B11" s="185" t="s">
        <v>890</v>
      </c>
      <c r="C11" s="273">
        <f t="shared" si="0"/>
        <v>113542.53</v>
      </c>
      <c r="D11" s="244">
        <v>113542.53</v>
      </c>
      <c r="E11" s="243"/>
      <c r="F11" s="251"/>
      <c r="G11" s="251"/>
      <c r="H11" s="251"/>
      <c r="I11" s="254"/>
    </row>
    <row r="12" spans="1:9" x14ac:dyDescent="0.2">
      <c r="A12" s="32">
        <v>2400</v>
      </c>
      <c r="B12" t="s">
        <v>711</v>
      </c>
      <c r="C12" s="273">
        <f t="shared" si="0"/>
        <v>271197.65999999997</v>
      </c>
      <c r="D12" s="20">
        <f>'DOE25'!L206+'DOE25'!L224+'DOE25'!L242-F12-G12-H12</f>
        <v>265762.42</v>
      </c>
      <c r="E12" s="243"/>
      <c r="F12" s="244"/>
      <c r="G12" s="53">
        <f>'DOE25'!J206+'DOE25'!J224+'DOE25'!J242</f>
        <v>0</v>
      </c>
      <c r="H12" s="53">
        <f>'DOE25'!K206+'DOE25'!K224+'DOE25'!K242</f>
        <v>5435.24</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989893.95000000007</v>
      </c>
      <c r="D14" s="20">
        <f>'DOE25'!L208+'DOE25'!L226+'DOE25'!L244-F14-G14-H14</f>
        <v>803263.79</v>
      </c>
      <c r="E14" s="243"/>
      <c r="F14" s="244">
        <v>168448.54</v>
      </c>
      <c r="G14" s="53">
        <f>'DOE25'!J208+'DOE25'!J226+'DOE25'!J244</f>
        <v>15444.100000000002</v>
      </c>
      <c r="H14" s="53">
        <f>'DOE25'!K208+'DOE25'!K226+'DOE25'!K244</f>
        <v>2737.52</v>
      </c>
      <c r="I14" s="254"/>
    </row>
    <row r="15" spans="1:9" x14ac:dyDescent="0.2">
      <c r="A15" s="32">
        <v>2700</v>
      </c>
      <c r="B15" t="s">
        <v>799</v>
      </c>
      <c r="C15" s="273">
        <f t="shared" si="0"/>
        <v>267665.06999999995</v>
      </c>
      <c r="D15" s="20">
        <f>'DOE25'!L209+'DOE25'!L227+'DOE25'!L245-F15-G15-H15</f>
        <v>43377.48999999994</v>
      </c>
      <c r="E15" s="243"/>
      <c r="F15" s="244">
        <v>164119.85</v>
      </c>
      <c r="G15" s="53">
        <f>'DOE25'!J209+'DOE25'!J227+'DOE25'!J245</f>
        <v>59754</v>
      </c>
      <c r="H15" s="53">
        <f>'DOE25'!K209+'DOE25'!K227+'DOE25'!K245</f>
        <v>413.73</v>
      </c>
      <c r="I15" s="254"/>
    </row>
    <row r="16" spans="1:9" x14ac:dyDescent="0.2">
      <c r="A16" s="32">
        <v>2800</v>
      </c>
      <c r="B16" t="s">
        <v>800</v>
      </c>
      <c r="C16" s="273">
        <f t="shared" si="0"/>
        <v>6960.1</v>
      </c>
      <c r="D16" s="243"/>
      <c r="E16" s="20">
        <f>'DOE25'!L210+'DOE25'!L228+'DOE25'!L246-F16-G16-H16</f>
        <v>6960.1</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142462.72</v>
      </c>
      <c r="D29" s="281">
        <f>'DOE25'!L359+'DOE25'!L360+'DOE25'!L361-'DOE25'!I368-F29-G29-H29</f>
        <v>102598.72</v>
      </c>
      <c r="E29" s="243"/>
      <c r="F29" s="244">
        <v>39599</v>
      </c>
      <c r="G29" s="53">
        <f>'DOE25'!J359+'DOE25'!J360+'DOE25'!J361</f>
        <v>214.25</v>
      </c>
      <c r="H29" s="53">
        <f>'DOE25'!K359+'DOE25'!K360+'DOE25'!K361</f>
        <v>50.75</v>
      </c>
      <c r="I29" s="254"/>
    </row>
    <row r="30" spans="1:9" x14ac:dyDescent="0.2">
      <c r="A30" s="32"/>
      <c r="C30" s="274"/>
      <c r="D30" s="20"/>
      <c r="E30" s="278"/>
      <c r="F30" s="268"/>
      <c r="G30" s="53"/>
      <c r="H30" s="53"/>
      <c r="I30" s="254"/>
    </row>
    <row r="31" spans="1:9" x14ac:dyDescent="0.2">
      <c r="A31" s="32" t="s">
        <v>818</v>
      </c>
      <c r="B31" t="s">
        <v>817</v>
      </c>
      <c r="C31" s="273">
        <f>SUM(D31:I31)</f>
        <v>454570.13</v>
      </c>
      <c r="D31" s="20">
        <f>'DOE25'!L291+'DOE25'!L310+'DOE25'!L329+'DOE25'!L334+'DOE25'!L335+'DOE25'!L336-F31-G31-H31</f>
        <v>255301.91</v>
      </c>
      <c r="E31" s="243"/>
      <c r="F31" s="244"/>
      <c r="G31" s="53">
        <f>'DOE25'!J291+'DOE25'!J310+'DOE25'!J329+'DOE25'!J334+'DOE25'!J335+'DOE25'!J336</f>
        <v>193263.15</v>
      </c>
      <c r="H31" s="53">
        <f>'DOE25'!K291+'DOE25'!K310+'DOE25'!K329+'DOE25'!K334+'DOE25'!K335+'DOE25'!K336</f>
        <v>6005.07</v>
      </c>
      <c r="I31" s="254"/>
    </row>
    <row r="32" spans="1:9" ht="12" thickBot="1" x14ac:dyDescent="0.25">
      <c r="C32" s="274"/>
      <c r="G32" s="249"/>
      <c r="H32" s="249"/>
      <c r="I32" s="256"/>
    </row>
    <row r="33" spans="1:9" ht="12" thickTop="1" x14ac:dyDescent="0.2">
      <c r="B33" t="s">
        <v>809</v>
      </c>
      <c r="D33" s="245">
        <f t="shared" ref="D33:I33" si="1">SUM(D5:D31)</f>
        <v>5247957.41</v>
      </c>
      <c r="E33" s="245">
        <f t="shared" si="1"/>
        <v>385590.02</v>
      </c>
      <c r="F33" s="245">
        <f t="shared" si="1"/>
        <v>417428.39</v>
      </c>
      <c r="G33" s="245">
        <f t="shared" si="1"/>
        <v>327583.34999999998</v>
      </c>
      <c r="H33" s="245">
        <f t="shared" si="1"/>
        <v>56130.400000000001</v>
      </c>
      <c r="I33" s="245">
        <f t="shared" si="1"/>
        <v>0</v>
      </c>
    </row>
    <row r="35" spans="1:9" ht="12" thickBot="1" x14ac:dyDescent="0.25">
      <c r="B35" s="249" t="s">
        <v>831</v>
      </c>
      <c r="D35" s="250">
        <f>E33</f>
        <v>385590.02</v>
      </c>
      <c r="E35" s="246"/>
      <c r="F35" s="333" t="s">
        <v>1632</v>
      </c>
      <c r="G35" s="334"/>
      <c r="H35" s="334"/>
      <c r="I35" s="334"/>
    </row>
    <row r="36" spans="1:9" ht="12" thickTop="1" x14ac:dyDescent="0.2">
      <c r="B36" t="s">
        <v>810</v>
      </c>
      <c r="D36" s="20">
        <f>D33</f>
        <v>5247957.41</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COLEBROOK SCHOOL DISTRICT</v>
      </c>
      <c r="B2" s="126">
        <f>'DOE25'!B2</f>
        <v>105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3934579.96</v>
      </c>
      <c r="G4" s="300">
        <f>'DOE25'!L212+'DOE25'!L291</f>
        <v>3934579.96</v>
      </c>
      <c r="H4" s="353">
        <f>F4-G4</f>
        <v>0</v>
      </c>
      <c r="I4" s="372" t="str">
        <f>IF(H4=0,"","ISSUES!! Please review page 7 and 11 totals in comparison with total on this page")</f>
        <v/>
      </c>
      <c r="N4"/>
    </row>
    <row r="5" spans="1:18" x14ac:dyDescent="0.2">
      <c r="A5" s="21" t="s">
        <v>1606</v>
      </c>
      <c r="B5" s="301">
        <f>IFERROR(VLOOKUP(A5,'School Tables'!$C$3:$D$365,2,FALSE),"")</f>
        <v>20195</v>
      </c>
      <c r="C5" s="294" t="str">
        <f>IFERROR(INDEX('School Tables'!$B$3:$B$365,MATCH('School Level Expenditures'!B5,'School Tables'!$D$3:$D$365,0)),"")</f>
        <v>Colebrook</v>
      </c>
      <c r="D5" s="291">
        <v>3505626.88</v>
      </c>
      <c r="E5" s="291">
        <v>428953.08</v>
      </c>
      <c r="F5" s="304">
        <f>D5+E5</f>
        <v>3934579.96</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3505626.88</v>
      </c>
      <c r="E21" s="351">
        <f>SUM(E5:E20)</f>
        <v>428953.08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2"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2345016.89</v>
      </c>
      <c r="G36" s="300">
        <f>'DOE25'!L248+'DOE25'!L329</f>
        <v>2345016.89</v>
      </c>
      <c r="H36" s="353">
        <f>F36-G36</f>
        <v>0</v>
      </c>
      <c r="I36" s="372" t="str">
        <f>IF(H36=0,"","ISSUES!! Please review page 9 and 13 totals in comparison with total on this page")</f>
        <v/>
      </c>
      <c r="N36"/>
    </row>
    <row r="37" spans="1:14" x14ac:dyDescent="0.2">
      <c r="A37" s="21" t="s">
        <v>1617</v>
      </c>
      <c r="B37" s="301">
        <f>IFERROR(VLOOKUP(A37,'School Tables'!$O$3:$P$118,2,FALSE),"")</f>
        <v>20185</v>
      </c>
      <c r="C37" s="294" t="str">
        <f t="array" ref="C37">IFERROR(INDEX('School Tables'!$N$3:$N$118,MATCH('School Level Expenditures'!B37,'School Tables'!$P$3:$P$118,0)),"")</f>
        <v>Colebrook</v>
      </c>
      <c r="D37" s="291">
        <v>2319001.92</v>
      </c>
      <c r="E37" s="291">
        <v>26014.97</v>
      </c>
      <c r="F37" s="304">
        <f t="shared" ref="F37:F42" si="2">D37+E37</f>
        <v>2345016.89</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2319001.92</v>
      </c>
      <c r="E43" s="352">
        <f>SUM(E37:E42)</f>
        <v>26014.97</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42"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COLEBROOK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1277968.04</v>
      </c>
      <c r="D8" s="95">
        <f>'DOE25'!G9</f>
        <v>34999.32</v>
      </c>
      <c r="E8" s="95">
        <f>'DOE25'!H9</f>
        <v>0</v>
      </c>
      <c r="F8" s="95">
        <f>'DOE25'!I9</f>
        <v>0</v>
      </c>
      <c r="G8" s="95">
        <f>'DOE25'!J9</f>
        <v>711253.22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53121.760000000002</v>
      </c>
      <c r="D11" s="95">
        <f>'DOE25'!G12</f>
        <v>0</v>
      </c>
      <c r="E11" s="95">
        <f>'DOE25'!H12</f>
        <v>0</v>
      </c>
      <c r="F11" s="95">
        <f>'DOE25'!I12</f>
        <v>0</v>
      </c>
      <c r="G11" s="95">
        <f>'DOE25'!J12</f>
        <v>0</v>
      </c>
      <c r="H11" s="124"/>
      <c r="I11" s="124"/>
    </row>
    <row r="12" spans="1:9" x14ac:dyDescent="0.2">
      <c r="A12" s="1" t="s">
        <v>143</v>
      </c>
      <c r="B12" s="6">
        <v>140</v>
      </c>
      <c r="C12" s="95">
        <f>'DOE25'!F13</f>
        <v>21550.26</v>
      </c>
      <c r="D12" s="95">
        <f>'DOE25'!G13</f>
        <v>6749.38</v>
      </c>
      <c r="E12" s="95">
        <f>'DOE25'!H13</f>
        <v>108346.57</v>
      </c>
      <c r="F12" s="95">
        <f>'DOE25'!I13</f>
        <v>0</v>
      </c>
      <c r="G12" s="95">
        <f>'DOE25'!J13</f>
        <v>0</v>
      </c>
      <c r="H12" s="124"/>
      <c r="I12" s="124"/>
    </row>
    <row r="13" spans="1:9" x14ac:dyDescent="0.2">
      <c r="A13" s="1" t="s">
        <v>144</v>
      </c>
      <c r="B13" s="6">
        <v>150</v>
      </c>
      <c r="C13" s="95">
        <f>'DOE25'!F14</f>
        <v>4067.65</v>
      </c>
      <c r="D13" s="95">
        <f>'DOE25'!G14</f>
        <v>145.84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4215.91</v>
      </c>
      <c r="E15" s="95">
        <f>'DOE25'!H16</f>
        <v>0</v>
      </c>
      <c r="F15" s="95">
        <f>'DOE25'!I16</f>
        <v>0</v>
      </c>
      <c r="G15" s="24" t="s">
        <v>288</v>
      </c>
      <c r="H15" s="124"/>
      <c r="I15" s="124"/>
    </row>
    <row r="16" spans="1:9" x14ac:dyDescent="0.2">
      <c r="A16" s="1" t="s">
        <v>147</v>
      </c>
      <c r="B16" s="6">
        <v>180</v>
      </c>
      <c r="C16" s="95">
        <f>'DOE25'!F17</f>
        <v>1858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1358565.71</v>
      </c>
      <c r="D18" s="41">
        <f>SUM(D8:D17)</f>
        <v>46110.45</v>
      </c>
      <c r="E18" s="41">
        <f>SUM(E8:E17)</f>
        <v>108346.57</v>
      </c>
      <c r="F18" s="41">
        <f>SUM(F8:F17)</f>
        <v>0</v>
      </c>
      <c r="G18" s="41">
        <f>SUM(G8:G17)</f>
        <v>711253.22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53121.760000000002</v>
      </c>
      <c r="F22" s="95">
        <f>'DOE25'!I23</f>
        <v>0</v>
      </c>
      <c r="G22" s="95">
        <f>'DOE25'!J23</f>
        <v>0</v>
      </c>
      <c r="H22" s="124"/>
      <c r="I22" s="124"/>
    </row>
    <row r="23" spans="1:9" x14ac:dyDescent="0.2">
      <c r="A23" s="1" t="s">
        <v>152</v>
      </c>
      <c r="B23" s="6">
        <v>420</v>
      </c>
      <c r="C23" s="95">
        <f>'DOE25'!F24</f>
        <v>65299.94</v>
      </c>
      <c r="D23" s="95">
        <f>'DOE25'!G24</f>
        <v>13992.31</v>
      </c>
      <c r="E23" s="95">
        <f>'DOE25'!H24</f>
        <v>5048.25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360065.35000000003</v>
      </c>
      <c r="D27" s="95">
        <f>'DOE25'!G28</f>
        <v>0</v>
      </c>
      <c r="E27" s="95">
        <f>'DOE25'!H28</f>
        <v>39774.61</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1795.03</v>
      </c>
      <c r="E29" s="95">
        <f>'DOE25'!H30</f>
        <v>10401.950000000001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425365.29000000004</v>
      </c>
      <c r="D31" s="41">
        <f>SUM(D21:D30)</f>
        <v>15787.34</v>
      </c>
      <c r="E31" s="41">
        <f>SUM(E21:E30)</f>
        <v>108346.56999999999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4215.91</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86261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1000</v>
      </c>
      <c r="D47" s="95">
        <f>'DOE25'!G48</f>
        <v>26107.199999999986</v>
      </c>
      <c r="E47" s="95">
        <f>'DOE25'!H48</f>
        <v>0</v>
      </c>
      <c r="F47" s="95">
        <f>'DOE25'!I48</f>
        <v>0</v>
      </c>
      <c r="G47" s="95">
        <f>'DOE25'!J48</f>
        <v>711253.22</v>
      </c>
      <c r="H47" s="124"/>
      <c r="I47" s="124"/>
    </row>
    <row r="48" spans="1:9" x14ac:dyDescent="0.2">
      <c r="A48" s="1" t="s">
        <v>882</v>
      </c>
      <c r="B48" s="6">
        <v>753</v>
      </c>
      <c r="C48" s="95">
        <f>'DOE25'!F49</f>
        <v>3600</v>
      </c>
      <c r="D48" s="95">
        <f>'DOE25'!G49</f>
        <v>0</v>
      </c>
      <c r="E48" s="95">
        <f>'DOE25'!H49</f>
        <v>0</v>
      </c>
      <c r="F48" s="95">
        <f>'DOE25'!I49</f>
        <v>0</v>
      </c>
      <c r="G48" s="95">
        <f>'DOE25'!J49</f>
        <v>0</v>
      </c>
      <c r="H48" s="124"/>
      <c r="I48" s="124"/>
    </row>
    <row r="49" spans="1:9" ht="12" thickBot="1" x14ac:dyDescent="0.25">
      <c r="A49" s="29" t="s">
        <v>883</v>
      </c>
      <c r="B49" s="71">
        <v>770</v>
      </c>
      <c r="C49" s="95">
        <f>'DOE25'!F50</f>
        <v>842339.41999999993</v>
      </c>
      <c r="D49" s="24" t="s">
        <v>288</v>
      </c>
      <c r="E49" s="24" t="s">
        <v>288</v>
      </c>
      <c r="F49" s="24" t="s">
        <v>288</v>
      </c>
      <c r="G49" s="24" t="s">
        <v>288</v>
      </c>
      <c r="H49" s="124"/>
      <c r="I49" s="124"/>
    </row>
    <row r="50" spans="1:9" ht="12.75" thickTop="1" thickBot="1" x14ac:dyDescent="0.25">
      <c r="A50" s="38" t="s">
        <v>884</v>
      </c>
      <c r="B50" s="48"/>
      <c r="C50" s="41">
        <f>SUM(C34:C49)</f>
        <v>933200.41999999993</v>
      </c>
      <c r="D50" s="41">
        <f>SUM(D34:D49)</f>
        <v>30323.109999999986</v>
      </c>
      <c r="E50" s="41">
        <f>SUM(E34:E49)</f>
        <v>0</v>
      </c>
      <c r="F50" s="41">
        <f>SUM(F34:F49)</f>
        <v>0</v>
      </c>
      <c r="G50" s="41">
        <f>SUM(G34:G49)</f>
        <v>711253.22</v>
      </c>
      <c r="H50" s="124"/>
      <c r="I50" s="124"/>
    </row>
    <row r="51" spans="1:9" ht="12" thickTop="1" x14ac:dyDescent="0.2">
      <c r="A51" s="38" t="s">
        <v>885</v>
      </c>
      <c r="B51" s="2"/>
      <c r="C51" s="41">
        <f>C50+C31</f>
        <v>1358565.71</v>
      </c>
      <c r="D51" s="41">
        <f>D50+D31</f>
        <v>46110.449999999983</v>
      </c>
      <c r="E51" s="41">
        <f>E50+E31</f>
        <v>108346.56999999999</v>
      </c>
      <c r="F51" s="41">
        <f>F50+F31</f>
        <v>0</v>
      </c>
      <c r="G51" s="41">
        <f>G50+G31</f>
        <v>711253.22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1852287</v>
      </c>
      <c r="D56" s="95">
        <f>'DOE25'!G60</f>
        <v>0</v>
      </c>
      <c r="E56" s="95">
        <f>'DOE25'!H60</f>
        <v>0</v>
      </c>
      <c r="F56" s="95">
        <f>'DOE25'!I60</f>
        <v>0</v>
      </c>
      <c r="G56" s="95">
        <f>'DOE25'!J60</f>
        <v>0</v>
      </c>
      <c r="H56"/>
      <c r="I56"/>
    </row>
    <row r="57" spans="1:9" x14ac:dyDescent="0.2">
      <c r="A57" s="1" t="s">
        <v>164</v>
      </c>
      <c r="B57" s="6" t="s">
        <v>165</v>
      </c>
      <c r="C57" s="95">
        <f>'DOE25'!F79</f>
        <v>1224119.8399999999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90.19</v>
      </c>
      <c r="D59" s="95">
        <f>'DOE25'!G96</f>
        <v>0</v>
      </c>
      <c r="E59" s="95">
        <f>'DOE25'!H96</f>
        <v>0</v>
      </c>
      <c r="F59" s="95">
        <f>'DOE25'!I96</f>
        <v>0</v>
      </c>
      <c r="G59" s="95">
        <f>'DOE25'!J96</f>
        <v>8491.5499999999993</v>
      </c>
      <c r="H59"/>
      <c r="I59"/>
    </row>
    <row r="60" spans="1:9" x14ac:dyDescent="0.2">
      <c r="A60" s="1" t="s">
        <v>170</v>
      </c>
      <c r="B60" s="118" t="s">
        <v>171</v>
      </c>
      <c r="C60" s="24" t="s">
        <v>288</v>
      </c>
      <c r="D60" s="95">
        <f>'DOE25'!G97</f>
        <v>2388.89</v>
      </c>
      <c r="E60" s="24" t="s">
        <v>288</v>
      </c>
      <c r="F60" s="24" t="s">
        <v>288</v>
      </c>
      <c r="G60" s="24" t="s">
        <v>288</v>
      </c>
      <c r="H60"/>
      <c r="I60"/>
    </row>
    <row r="61" spans="1:9" ht="12" thickBot="1" x14ac:dyDescent="0.25">
      <c r="A61" s="1" t="s">
        <v>172</v>
      </c>
      <c r="B61" s="118" t="s">
        <v>173</v>
      </c>
      <c r="C61" s="95">
        <f>SUM('DOE25'!F98:F110)</f>
        <v>215131.29</v>
      </c>
      <c r="D61" s="95">
        <f>SUM('DOE25'!G98:G110)</f>
        <v>0</v>
      </c>
      <c r="E61" s="95">
        <f>SUM('DOE25'!H98:H110)</f>
        <v>15016.72</v>
      </c>
      <c r="F61" s="95">
        <f>SUM('DOE25'!I98:I110)</f>
        <v>0</v>
      </c>
      <c r="G61" s="95">
        <f>SUM('DOE25'!J98:J110)</f>
        <v>0</v>
      </c>
      <c r="H61"/>
      <c r="I61"/>
    </row>
    <row r="62" spans="1:9" ht="12.75" thickTop="1" thickBot="1" x14ac:dyDescent="0.25">
      <c r="A62" s="29" t="s">
        <v>174</v>
      </c>
      <c r="B62" s="6"/>
      <c r="C62" s="130">
        <f>SUM(C57:C61)</f>
        <v>1439341.3199999998</v>
      </c>
      <c r="D62" s="130">
        <f>SUM(D57:D61)</f>
        <v>2388.89</v>
      </c>
      <c r="E62" s="130">
        <f>SUM(E57:E61)</f>
        <v>15016.72</v>
      </c>
      <c r="F62" s="130">
        <f>SUM(F57:F61)</f>
        <v>0</v>
      </c>
      <c r="G62" s="130">
        <f>SUM(G57:G61)</f>
        <v>8491.5499999999993</v>
      </c>
      <c r="H62"/>
      <c r="I62"/>
    </row>
    <row r="63" spans="1:9" ht="12" thickTop="1" x14ac:dyDescent="0.2">
      <c r="A63" s="29" t="s">
        <v>175</v>
      </c>
      <c r="B63" s="6"/>
      <c r="C63" s="22">
        <f>C56+C62</f>
        <v>3291628.32</v>
      </c>
      <c r="D63" s="22">
        <f>D56+D62</f>
        <v>2388.89</v>
      </c>
      <c r="E63" s="22">
        <f>E56+E62</f>
        <v>15016.72</v>
      </c>
      <c r="F63" s="22">
        <f>F56+F62</f>
        <v>0</v>
      </c>
      <c r="G63" s="22">
        <f>G56+G62</f>
        <v>8491.5499999999993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2255089.46</v>
      </c>
      <c r="D66" s="24" t="s">
        <v>288</v>
      </c>
      <c r="E66" s="24" t="s">
        <v>288</v>
      </c>
      <c r="F66" s="24" t="s">
        <v>288</v>
      </c>
      <c r="G66" s="24" t="s">
        <v>288</v>
      </c>
      <c r="H66"/>
      <c r="I66"/>
    </row>
    <row r="67" spans="1:9" x14ac:dyDescent="0.2">
      <c r="A67" s="1" t="s">
        <v>770</v>
      </c>
      <c r="B67" s="6">
        <v>3112</v>
      </c>
      <c r="C67" s="95">
        <f>'DOE25'!F118</f>
        <v>304240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528.13</v>
      </c>
      <c r="D69" s="95">
        <f>'DOE25'!G120</f>
        <v>0</v>
      </c>
      <c r="E69" s="95">
        <f>'DOE25'!H120</f>
        <v>0</v>
      </c>
      <c r="F69" s="95">
        <f>'DOE25'!I120</f>
        <v>0</v>
      </c>
      <c r="G69" s="95">
        <f>'DOE25'!J120</f>
        <v>0</v>
      </c>
      <c r="H69"/>
      <c r="I69"/>
    </row>
    <row r="70" spans="1:9" ht="12" thickTop="1" x14ac:dyDescent="0.2">
      <c r="A70" s="29" t="s">
        <v>252</v>
      </c>
      <c r="B70" s="2"/>
      <c r="C70" s="139">
        <f>SUM(C66:C69)</f>
        <v>2559857.59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97482.92</v>
      </c>
      <c r="D75" s="24" t="s">
        <v>288</v>
      </c>
      <c r="E75" s="24" t="s">
        <v>288</v>
      </c>
      <c r="F75" s="24" t="s">
        <v>288</v>
      </c>
      <c r="G75" s="24" t="s">
        <v>288</v>
      </c>
      <c r="H75"/>
      <c r="I75"/>
    </row>
    <row r="76" spans="1:9" x14ac:dyDescent="0.2">
      <c r="A76" s="1" t="s">
        <v>257</v>
      </c>
      <c r="B76" s="6" t="s">
        <v>179</v>
      </c>
      <c r="C76" s="95">
        <f>SUM('DOE25'!F127:F130)</f>
        <v>15053.18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2787.3500000000004</v>
      </c>
      <c r="E77" s="95">
        <f>SUM('DOE25'!H131:H135)</f>
        <v>0</v>
      </c>
      <c r="F77" s="95">
        <f>SUM('DOE25'!I131:I135)</f>
        <v>0</v>
      </c>
      <c r="G77" s="95">
        <f>SUM('DOE25'!J131:J135)</f>
        <v>0</v>
      </c>
      <c r="H77"/>
      <c r="I77"/>
    </row>
    <row r="78" spans="1:9" ht="12.75" thickTop="1" thickBot="1" x14ac:dyDescent="0.25">
      <c r="A78" s="29" t="s">
        <v>259</v>
      </c>
      <c r="B78" s="6"/>
      <c r="C78" s="130">
        <f>SUM(C72:C77)</f>
        <v>112536.1</v>
      </c>
      <c r="D78" s="130">
        <f>SUM(D72:D77)</f>
        <v>2787.3500000000004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2672393.69</v>
      </c>
      <c r="D81" s="130">
        <f>SUM(D79:D80)+D78+D70</f>
        <v>2787.3500000000004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0</v>
      </c>
      <c r="D88" s="331">
        <f>SUM('DOE25'!G153:G162)</f>
        <v>94218.9</v>
      </c>
      <c r="E88" s="331">
        <f>SUM('DOE25'!H153:H162)</f>
        <v>439553.41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94218.9</v>
      </c>
      <c r="E91" s="131">
        <f>SUM(E85:E90)</f>
        <v>439553.41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50000</v>
      </c>
      <c r="E96" s="95">
        <f>'DOE25'!H180</f>
        <v>0</v>
      </c>
      <c r="F96" s="95">
        <f>'DOE25'!I180</f>
        <v>0</v>
      </c>
      <c r="G96" s="95">
        <f>'DOE25'!J180</f>
        <v>85000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40000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40000</v>
      </c>
      <c r="D103" s="86">
        <f>SUM(D93:D102)</f>
        <v>50000</v>
      </c>
      <c r="E103" s="86">
        <f>SUM(E93:E102)</f>
        <v>0</v>
      </c>
      <c r="F103" s="86">
        <f>SUM(F93:F102)</f>
        <v>0</v>
      </c>
      <c r="G103" s="86">
        <f>SUM(G93:G102)</f>
        <v>85000</v>
      </c>
    </row>
    <row r="104" spans="1:7" ht="12.75" thickTop="1" thickBot="1" x14ac:dyDescent="0.25">
      <c r="A104" s="33" t="s">
        <v>761</v>
      </c>
      <c r="C104" s="86">
        <f>C63+C81+C91+C103</f>
        <v>6004022.0099999998</v>
      </c>
      <c r="D104" s="86">
        <f>D63+D81+D91+D103</f>
        <v>149395.14000000001</v>
      </c>
      <c r="E104" s="86">
        <f>E63+E81+E91+E103</f>
        <v>454570.12999999995</v>
      </c>
      <c r="F104" s="86">
        <f>F63+F81+F91+F103</f>
        <v>0</v>
      </c>
      <c r="G104" s="86">
        <f>G63+G81+G103</f>
        <v>93491.55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2153594.02</v>
      </c>
      <c r="D109" s="24" t="s">
        <v>288</v>
      </c>
      <c r="E109" s="95">
        <f>('DOE25'!L277)+('DOE25'!L296)+('DOE25'!L315)</f>
        <v>297431.03000000003</v>
      </c>
      <c r="F109" s="24" t="s">
        <v>288</v>
      </c>
      <c r="G109" s="24" t="s">
        <v>288</v>
      </c>
    </row>
    <row r="110" spans="1:7" x14ac:dyDescent="0.2">
      <c r="A110" t="s">
        <v>198</v>
      </c>
      <c r="B110" s="32" t="s">
        <v>199</v>
      </c>
      <c r="C110" s="95">
        <f>('DOE25'!L199)+('DOE25'!L217)+('DOE25'!L235)</f>
        <v>705770.75</v>
      </c>
      <c r="D110" s="24" t="s">
        <v>288</v>
      </c>
      <c r="E110" s="95">
        <f>('DOE25'!L278)+('DOE25'!L297)+('DOE25'!L316)</f>
        <v>69379.759999999995</v>
      </c>
      <c r="F110" s="24" t="s">
        <v>288</v>
      </c>
      <c r="G110" s="24" t="s">
        <v>288</v>
      </c>
    </row>
    <row r="111" spans="1:7" x14ac:dyDescent="0.2">
      <c r="A111" t="s">
        <v>200</v>
      </c>
      <c r="B111" s="32" t="s">
        <v>165</v>
      </c>
      <c r="C111" s="95">
        <f>('DOE25'!L200)+('DOE25'!L218)+('DOE25'!L236)</f>
        <v>27300</v>
      </c>
      <c r="D111" s="24" t="s">
        <v>288</v>
      </c>
      <c r="E111" s="95">
        <f>('DOE25'!L279)+('DOE25'!L298)+('DOE25'!L317)</f>
        <v>0</v>
      </c>
      <c r="F111" s="24" t="s">
        <v>288</v>
      </c>
      <c r="G111" s="24" t="s">
        <v>288</v>
      </c>
    </row>
    <row r="112" spans="1:7" x14ac:dyDescent="0.2">
      <c r="A112" t="s">
        <v>201</v>
      </c>
      <c r="B112" s="32" t="s">
        <v>167</v>
      </c>
      <c r="C112" s="95">
        <f>('DOE25'!L201)+('DOE25'!L219)+('DOE25'!L237)</f>
        <v>121031.93000000002</v>
      </c>
      <c r="D112" s="24" t="s">
        <v>288</v>
      </c>
      <c r="E112" s="95">
        <f>+('DOE25'!L280)+('DOE25'!L299)+('DOE25'!L318)</f>
        <v>3731.64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3007696.7</v>
      </c>
      <c r="D115" s="86">
        <f>SUM(D109:D114)</f>
        <v>0</v>
      </c>
      <c r="E115" s="86">
        <f>SUM(E109:E114)</f>
        <v>370542.43000000005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588010.52</v>
      </c>
      <c r="D118" s="24" t="s">
        <v>288</v>
      </c>
      <c r="E118" s="95">
        <f>+('DOE25'!L282)+('DOE25'!L301)+('DOE25'!L320)</f>
        <v>33737.79</v>
      </c>
      <c r="F118" s="24" t="s">
        <v>288</v>
      </c>
      <c r="G118" s="24" t="s">
        <v>288</v>
      </c>
    </row>
    <row r="119" spans="1:7" x14ac:dyDescent="0.2">
      <c r="A119" t="s">
        <v>208</v>
      </c>
      <c r="B119" s="32" t="s">
        <v>209</v>
      </c>
      <c r="C119" s="95">
        <f>('DOE25'!L204)+('DOE25'!L222)+('DOE25'!L240)</f>
        <v>96264.72</v>
      </c>
      <c r="D119" s="24" t="s">
        <v>288</v>
      </c>
      <c r="E119" s="95">
        <f>+('DOE25'!L283)+('DOE25'!L302)+('DOE25'!L321)</f>
        <v>24317.89</v>
      </c>
      <c r="F119" s="24" t="s">
        <v>288</v>
      </c>
      <c r="G119" s="24" t="s">
        <v>288</v>
      </c>
    </row>
    <row r="120" spans="1:7" x14ac:dyDescent="0.2">
      <c r="A120" t="s">
        <v>210</v>
      </c>
      <c r="B120" s="32" t="s">
        <v>211</v>
      </c>
      <c r="C120" s="95">
        <f>('DOE25'!L205)+('DOE25'!L223)+('DOE25'!L241)</f>
        <v>597338</v>
      </c>
      <c r="D120" s="24" t="s">
        <v>288</v>
      </c>
      <c r="E120" s="95">
        <f>+('DOE25'!L284)+('DOE25'!L303)+('DOE25'!L322)</f>
        <v>7573.16</v>
      </c>
      <c r="F120" s="24" t="s">
        <v>288</v>
      </c>
      <c r="G120" s="24" t="s">
        <v>288</v>
      </c>
    </row>
    <row r="121" spans="1:7" x14ac:dyDescent="0.2">
      <c r="A121" t="s">
        <v>212</v>
      </c>
      <c r="B121" s="32" t="s">
        <v>213</v>
      </c>
      <c r="C121" s="95">
        <f>('DOE25'!L206)+('DOE25'!L224)+('DOE25'!L242)</f>
        <v>271197.65999999997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989893.95000000007</v>
      </c>
      <c r="D123" s="24" t="s">
        <v>288</v>
      </c>
      <c r="E123" s="95">
        <f>+('DOE25'!L287)+('DOE25'!L306)+('DOE25'!L325)</f>
        <v>18398.86</v>
      </c>
      <c r="F123" s="24" t="s">
        <v>288</v>
      </c>
      <c r="G123" s="24" t="s">
        <v>288</v>
      </c>
    </row>
    <row r="124" spans="1:7" x14ac:dyDescent="0.2">
      <c r="A124" t="s">
        <v>218</v>
      </c>
      <c r="B124" s="32" t="s">
        <v>219</v>
      </c>
      <c r="C124" s="95">
        <f>('DOE25'!L209)+('DOE25'!L227)+('DOE25'!L245+'DOE25'!L255)</f>
        <v>267665.06999999995</v>
      </c>
      <c r="D124" s="24" t="s">
        <v>288</v>
      </c>
      <c r="E124" s="95">
        <f>+('DOE25'!L288)+('DOE25'!L307)+('DOE25'!L326)</f>
        <v>0</v>
      </c>
      <c r="F124" s="24" t="s">
        <v>288</v>
      </c>
      <c r="G124" s="24" t="s">
        <v>288</v>
      </c>
    </row>
    <row r="125" spans="1:7" x14ac:dyDescent="0.2">
      <c r="A125" t="s">
        <v>220</v>
      </c>
      <c r="B125" s="32" t="s">
        <v>221</v>
      </c>
      <c r="C125" s="95">
        <f>('DOE25'!L210)+('DOE25'!L228)+('DOE25'!L246)</f>
        <v>6960.1</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142462.72</v>
      </c>
      <c r="E127" s="24" t="s">
        <v>288</v>
      </c>
      <c r="F127" s="24" t="s">
        <v>288</v>
      </c>
      <c r="G127" s="24" t="s">
        <v>288</v>
      </c>
    </row>
    <row r="128" spans="1:7" ht="12.75" thickTop="1" thickBot="1" x14ac:dyDescent="0.25">
      <c r="A128" s="33" t="s">
        <v>226</v>
      </c>
      <c r="C128" s="86">
        <f>SUM(C118:C127)</f>
        <v>2817330.02</v>
      </c>
      <c r="D128" s="86">
        <f>SUM(D118:D127)</f>
        <v>142462.72</v>
      </c>
      <c r="E128" s="86">
        <f>SUM(E118:E127)</f>
        <v>84027.7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93491.550000000017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-8491.5500000000175</v>
      </c>
      <c r="D141" s="24" t="s">
        <v>288</v>
      </c>
      <c r="E141" s="24" t="s">
        <v>288</v>
      </c>
      <c r="F141" s="24" t="s">
        <v>288</v>
      </c>
      <c r="G141" s="24" t="s">
        <v>288</v>
      </c>
    </row>
    <row r="142" spans="1:7" x14ac:dyDescent="0.2">
      <c r="A142" t="s">
        <v>241</v>
      </c>
      <c r="B142" s="32">
        <v>5310</v>
      </c>
      <c r="C142" s="129">
        <f>'DOE25'!L269</f>
        <v>24459.599999999999</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159459.6</v>
      </c>
      <c r="D144" s="141">
        <f>SUM(D130:D143)</f>
        <v>0</v>
      </c>
      <c r="E144" s="141">
        <f>SUM(E130:E143)</f>
        <v>0</v>
      </c>
      <c r="F144" s="141">
        <f>SUM(F130:F143)</f>
        <v>0</v>
      </c>
      <c r="G144" s="141">
        <f>SUM(G130:G143)</f>
        <v>0</v>
      </c>
    </row>
    <row r="145" spans="1:9" ht="12.75" thickTop="1" thickBot="1" x14ac:dyDescent="0.25">
      <c r="A145" s="33" t="s">
        <v>244</v>
      </c>
      <c r="C145" s="86">
        <f>(C115+C128+C144)</f>
        <v>5984486.3200000003</v>
      </c>
      <c r="D145" s="86">
        <f>(D115+D128+D144)</f>
        <v>142462.72</v>
      </c>
      <c r="E145" s="86">
        <f>(E115+E128+E144)</f>
        <v>454570.13000000006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COLEBROOK SCHOOL DISTRICT</v>
      </c>
    </row>
    <row r="3" spans="1:4" x14ac:dyDescent="0.2">
      <c r="B3" s="188" t="s">
        <v>1666</v>
      </c>
    </row>
    <row r="4" spans="1:4" x14ac:dyDescent="0.2">
      <c r="B4" t="s">
        <v>61</v>
      </c>
      <c r="C4" s="179">
        <f>IF('DOE25'!F666+'DOE25'!F671=0,0,ROUND('DOE25'!F673,0))</f>
        <v>18335</v>
      </c>
    </row>
    <row r="5" spans="1:4" x14ac:dyDescent="0.2">
      <c r="B5" t="s">
        <v>700</v>
      </c>
      <c r="C5" s="179">
        <f>IF('DOE25'!G666+'DOE25'!G671=0,0,ROUND('DOE25'!G673,0))</f>
        <v>0</v>
      </c>
    </row>
    <row r="6" spans="1:4" x14ac:dyDescent="0.2">
      <c r="B6" t="s">
        <v>62</v>
      </c>
      <c r="C6" s="179">
        <f>IF('DOE25'!H666+'DOE25'!H671=0,0,ROUND('DOE25'!H673,0))</f>
        <v>22785</v>
      </c>
    </row>
    <row r="7" spans="1:4" x14ac:dyDescent="0.2">
      <c r="B7" t="s">
        <v>701</v>
      </c>
      <c r="C7" s="179">
        <f>IF('DOE25'!I666+'DOE25'!I671=0,0,ROUND('DOE25'!I673,0))</f>
        <v>19802</v>
      </c>
    </row>
    <row r="9" spans="1:4" x14ac:dyDescent="0.2">
      <c r="A9" s="187" t="s">
        <v>94</v>
      </c>
      <c r="B9" s="188" t="s">
        <v>1671</v>
      </c>
      <c r="C9" s="181" t="s">
        <v>720</v>
      </c>
      <c r="D9" s="181" t="s">
        <v>721</v>
      </c>
    </row>
    <row r="10" spans="1:4" x14ac:dyDescent="0.2">
      <c r="A10">
        <v>1100</v>
      </c>
      <c r="B10" t="s">
        <v>702</v>
      </c>
      <c r="C10" s="179">
        <f>ROUND('DOE25'!L198+'DOE25'!L216+'DOE25'!L234+'DOE25'!L277+'DOE25'!L296+'DOE25'!L315,0)</f>
        <v>2451025</v>
      </c>
      <c r="D10" s="182">
        <f>ROUND((C10/$C$28)*100,1)</f>
        <v>38</v>
      </c>
    </row>
    <row r="11" spans="1:4" x14ac:dyDescent="0.2">
      <c r="A11">
        <v>1200</v>
      </c>
      <c r="B11" t="s">
        <v>703</v>
      </c>
      <c r="C11" s="179">
        <f>ROUND('DOE25'!L199+'DOE25'!L217+'DOE25'!L235+'DOE25'!L278+'DOE25'!L297+'DOE25'!L316,0)</f>
        <v>775151</v>
      </c>
      <c r="D11" s="182">
        <f>ROUND((C11/$C$28)*100,1)</f>
        <v>12</v>
      </c>
    </row>
    <row r="12" spans="1:4" x14ac:dyDescent="0.2">
      <c r="A12">
        <v>1300</v>
      </c>
      <c r="B12" t="s">
        <v>704</v>
      </c>
      <c r="C12" s="179">
        <f>ROUND('DOE25'!L200+'DOE25'!L218+'DOE25'!L236+'DOE25'!L279+'DOE25'!L298+'DOE25'!L317,0)</f>
        <v>27300</v>
      </c>
      <c r="D12" s="182">
        <f>ROUND((C12/$C$28)*100,1)</f>
        <v>0.4</v>
      </c>
    </row>
    <row r="13" spans="1:4" x14ac:dyDescent="0.2">
      <c r="A13">
        <v>1400</v>
      </c>
      <c r="B13" t="s">
        <v>705</v>
      </c>
      <c r="C13" s="179">
        <f>ROUND('DOE25'!L201+'DOE25'!L219+'DOE25'!L237+'DOE25'!L280+'DOE25'!L299+'DOE25'!L318,0)</f>
        <v>124764</v>
      </c>
      <c r="D13" s="182">
        <f>ROUND((C13/$C$28)*100,1)</f>
        <v>1.9</v>
      </c>
    </row>
    <row r="14" spans="1:4" x14ac:dyDescent="0.2">
      <c r="D14" s="182"/>
    </row>
    <row r="15" spans="1:4" x14ac:dyDescent="0.2">
      <c r="A15">
        <v>2100</v>
      </c>
      <c r="B15" t="s">
        <v>706</v>
      </c>
      <c r="C15" s="179">
        <f>ROUND('DOE25'!L203+'DOE25'!L221+'DOE25'!L239+'DOE25'!L282+'DOE25'!L301+'DOE25'!L320,0)</f>
        <v>621748</v>
      </c>
      <c r="D15" s="182">
        <f t="shared" ref="D15:D27" si="0">ROUND((C15/$C$28)*100,1)</f>
        <v>9.6</v>
      </c>
    </row>
    <row r="16" spans="1:4" x14ac:dyDescent="0.2">
      <c r="A16">
        <v>2200</v>
      </c>
      <c r="B16" t="s">
        <v>707</v>
      </c>
      <c r="C16" s="179">
        <f>ROUND('DOE25'!L204+'DOE25'!L222+'DOE25'!L240+'DOE25'!L283+'DOE25'!L302+'DOE25'!L321,0)</f>
        <v>120583</v>
      </c>
      <c r="D16" s="182">
        <f t="shared" si="0"/>
        <v>1.9</v>
      </c>
    </row>
    <row r="17" spans="1:4" x14ac:dyDescent="0.2">
      <c r="A17" s="183" t="s">
        <v>723</v>
      </c>
      <c r="B17" t="s">
        <v>738</v>
      </c>
      <c r="C17" s="179">
        <f>ROUND('DOE25'!L205+'DOE25'!L210+'DOE25'!L223+'DOE25'!L228+'DOE25'!L241+'DOE25'!L246+'DOE25'!L284+'DOE25'!L289+'DOE25'!L303+'DOE25'!L308+'DOE25'!L322+'DOE25'!L327,0)</f>
        <v>611871</v>
      </c>
      <c r="D17" s="182">
        <f t="shared" si="0"/>
        <v>9.5</v>
      </c>
    </row>
    <row r="18" spans="1:4" x14ac:dyDescent="0.2">
      <c r="A18">
        <v>2400</v>
      </c>
      <c r="B18" t="s">
        <v>711</v>
      </c>
      <c r="C18" s="179">
        <f>ROUND('DOE25'!L206+'DOE25'!L224+'DOE25'!L242+'DOE25'!L285+'DOE25'!L304+'DOE25'!L323,0)</f>
        <v>271198</v>
      </c>
      <c r="D18" s="182">
        <f t="shared" si="0"/>
        <v>4.2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1008293</v>
      </c>
      <c r="D20" s="182">
        <f t="shared" si="0"/>
        <v>15.6</v>
      </c>
    </row>
    <row r="21" spans="1:4" x14ac:dyDescent="0.2">
      <c r="A21">
        <v>2700</v>
      </c>
      <c r="B21" t="s">
        <v>710</v>
      </c>
      <c r="C21" s="179">
        <f>ROUND('DOE25'!L209+'DOE25'!L227+'DOE25'!L245+'DOE25'!L288+'DOE25'!L307+'DOE25'!L326,0)</f>
        <v>267665</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24459.599999999999</v>
      </c>
      <c r="D26" s="182">
        <f t="shared" si="0"/>
        <v>0.4</v>
      </c>
    </row>
    <row r="27" spans="1:4" x14ac:dyDescent="0.2">
      <c r="A27">
        <v>3100</v>
      </c>
      <c r="B27" t="s">
        <v>11</v>
      </c>
      <c r="C27" s="179">
        <f>ROUND('DOE25'!L363-'DOE25'!L362,0)-SUM('DOE25'!G97:G110)</f>
        <v>140074.10999999999</v>
      </c>
      <c r="D27" s="182">
        <f t="shared" si="0"/>
        <v>2.2000000000000002</v>
      </c>
    </row>
    <row r="28" spans="1:4" x14ac:dyDescent="0.2">
      <c r="B28" s="187" t="s">
        <v>719</v>
      </c>
      <c r="C28" s="180">
        <f>SUM(C10:C27)</f>
        <v>6444131.71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6444131.71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1852287</v>
      </c>
      <c r="D35" s="182">
        <f t="shared" ref="D35:D40" si="1">ROUND((C35/$C$41)*100,1)</f>
        <v>28.4</v>
      </c>
    </row>
    <row r="36" spans="1:4" x14ac:dyDescent="0.2">
      <c r="B36" s="185" t="s">
        <v>739</v>
      </c>
      <c r="C36" s="179">
        <f>SUM('DOE25'!F112:J112)-SUM('DOE25'!G97:G110)+('DOE25'!F175+'DOE25'!F176+'DOE25'!I175+'DOE25'!I176)-C35</f>
        <v>1462849.5899999999</v>
      </c>
      <c r="D36" s="182">
        <f t="shared" si="1"/>
        <v>22.4</v>
      </c>
    </row>
    <row r="37" spans="1:4" x14ac:dyDescent="0.2">
      <c r="A37" s="183" t="s">
        <v>835</v>
      </c>
      <c r="B37" s="185" t="s">
        <v>728</v>
      </c>
      <c r="C37" s="179">
        <f>ROUND('DOE25'!F117+'DOE25'!F118,0)</f>
        <v>2559329</v>
      </c>
      <c r="D37" s="182">
        <f t="shared" si="1"/>
        <v>39.200000000000003</v>
      </c>
    </row>
    <row r="38" spans="1:4" x14ac:dyDescent="0.2">
      <c r="A38" s="183" t="s">
        <v>734</v>
      </c>
      <c r="B38" s="185" t="s">
        <v>729</v>
      </c>
      <c r="C38" s="179">
        <f>ROUND(SUM('DOE25'!F140:J140)-SUM('DOE25'!F117:F119),0)</f>
        <v>115852</v>
      </c>
      <c r="D38" s="182">
        <f t="shared" si="1"/>
        <v>1.8</v>
      </c>
    </row>
    <row r="39" spans="1:4" x14ac:dyDescent="0.2">
      <c r="A39">
        <v>4000</v>
      </c>
      <c r="B39" s="185" t="s">
        <v>730</v>
      </c>
      <c r="C39" s="179">
        <f>ROUND('DOE25'!F170+'DOE25'!G170+'DOE25'!H170+'DOE25'!I170,0)</f>
        <v>533772</v>
      </c>
      <c r="D39" s="182">
        <f t="shared" si="1"/>
        <v>8.1999999999999993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6524089.5899999999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COLEBROOK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2021-10-03T17:28:29Z</cp:lastPrinted>
  <dcterms:created xsi:type="dcterms:W3CDTF">1997-12-04T19:04:30Z</dcterms:created>
  <dcterms:modified xsi:type="dcterms:W3CDTF">2021-12-14T17:38:30Z</dcterms:modified>
</cp:coreProperties>
</file>