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868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3" i="1" l="1"/>
  <c r="F469" i="1"/>
  <c r="D5" i="14"/>
  <c r="D37" i="14"/>
  <c r="J469" i="1"/>
  <c r="H529" i="1"/>
  <c r="H527" i="1"/>
  <c r="K267" i="1"/>
  <c r="H241" i="1"/>
  <c r="H205" i="1"/>
  <c r="H203" i="1"/>
  <c r="F9"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G653" i="1"/>
  <c r="H653" i="1"/>
  <c r="G654" i="1"/>
  <c r="H654" i="1"/>
  <c r="G655" i="1"/>
  <c r="H655" i="1"/>
  <c r="H656" i="1"/>
  <c r="I170" i="1"/>
  <c r="G477" i="1"/>
  <c r="K339" i="1" l="1"/>
  <c r="H477" i="1"/>
  <c r="H625" i="1" s="1"/>
  <c r="J656" i="1"/>
  <c r="G646" i="1"/>
  <c r="J652" i="1"/>
  <c r="H663" i="1"/>
  <c r="C12" i="10"/>
  <c r="C120" i="2"/>
  <c r="H409" i="1"/>
  <c r="H645" i="1" s="1"/>
  <c r="J645" i="1" s="1"/>
  <c r="E110" i="2"/>
  <c r="J572" i="1"/>
  <c r="G409" i="1"/>
  <c r="H646" i="1" s="1"/>
  <c r="J646" i="1" s="1"/>
  <c r="G553" i="1"/>
  <c r="J258" i="1"/>
  <c r="H649" i="1" s="1"/>
  <c r="A40" i="12"/>
  <c r="E119" i="2"/>
  <c r="D6" i="13"/>
  <c r="C6" i="13" s="1"/>
  <c r="E13" i="13"/>
  <c r="C13" i="13" s="1"/>
  <c r="K353" i="1"/>
  <c r="G339" i="1"/>
  <c r="G353" i="1" s="1"/>
  <c r="E123" i="2"/>
  <c r="E131" i="2"/>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E128" i="2" s="1"/>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C141" i="2" l="1"/>
  <c r="J272" i="1"/>
  <c r="C81" i="2"/>
  <c r="F194" i="1"/>
  <c r="G628" i="1" s="1"/>
  <c r="J628" i="1" s="1"/>
  <c r="H661" i="1"/>
  <c r="H665" i="1" s="1"/>
  <c r="H668" i="1" s="1"/>
  <c r="H194" i="1"/>
  <c r="G630" i="1" s="1"/>
  <c r="J630"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<sst xmlns="http://schemas.openxmlformats.org/spreadsheetml/2006/main" count="5572" uniqueCount="1673">
  <si>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</si>
  <si>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</si>
  <si>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</si>
  <si>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</si>
  <si>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</si>
  <si>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</si>
  <si>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</si>
  <si>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</si>
  <si>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</si>
  <si>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</si>
  <si>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</si>
  <si>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</si>
  <si>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</si>
  <si>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</si>
  <si>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</si>
  <si>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</si>
  <si>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</si>
  <si>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</si>
  <si>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</si>
  <si>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</si>
  <si>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</si>
  <si>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</si>
  <si>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</si>
  <si>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</si>
  <si>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</si>
  <si>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</si>
  <si>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</si>
  <si>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</si>
  <si>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</si>
  <si>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</si>
  <si>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</si>
  <si>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</si>
  <si>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</si>
  <si>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</si>
  <si>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</si>
  <si>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</si>
  <si>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</si>
  <si>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</si>
  <si>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</si>
  <si>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</si>
  <si>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</si>
  <si>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</si>
  <si>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</si>
  <si>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</si>
  <si>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</si>
  <si>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</si>
  <si>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</si>
  <si>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</si>
  <si>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</si>
  <si>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</si>
  <si>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</si>
  <si>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</si>
  <si>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</si>
  <si>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</si>
  <si>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</si>
  <si>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</si>
  <si>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</si>
  <si>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</si>
  <si>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</si>
  <si>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</si>
  <si>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</si>
  <si>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</si>
  <si>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</si>
  <si>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</si>
  <si>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</si>
  <si>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</si>
  <si>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</si>
  <si>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</si>
  <si>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</si>
  <si>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</si>
  <si>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</si>
  <si>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</si>
  <si>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</si>
  <si>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</si>
  <si>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</si>
  <si>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</si>
  <si>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</si>
  <si>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</si>
  <si>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</si>
  <si>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</si>
  <si>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</si>
  <si>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</si>
  <si>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</si>
  <si>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</si>
  <si>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</si>
  <si>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</si>
  <si>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</si>
  <si>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</si>
  <si>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</si>
  <si>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</si>
  <si>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</si>
  <si>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</si>
  <si>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</si>
  <si>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</si>
  <si>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</si>
  <si>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</si>
  <si>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</si>
  <si>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</si>
  <si>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</si>
  <si>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</si>
  <si>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</si>
  <si>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</si>
  <si>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</si>
  <si>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</si>
  <si>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</si>
  <si>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</si>
  <si>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</si>
  <si>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</si>
  <si>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</si>
  <si>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</si>
  <si>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</si>
  <si>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</si>
  <si>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</si>
  <si>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</si>
  <si>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</si>
  <si>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</si>
  <si>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</si>
  <si>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</si>
  <si>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</si>
  <si>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</si>
  <si>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</si>
  <si>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</si>
  <si>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</si>
  <si>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</si>
  <si>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</si>
  <si>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</si>
  <si>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</si>
  <si>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</si>
  <si>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</si>
  <si>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</si>
  <si>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</si>
  <si>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</si>
  <si>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</si>
  <si>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</si>
  <si>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</si>
  <si>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</si>
  <si>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</si>
  <si>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</si>
  <si>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</si>
  <si>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</si>
  <si>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</si>
  <si>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</si>
  <si>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</si>
  <si>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</si>
  <si>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</si>
  <si>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</si>
  <si>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</si>
  <si>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</si>
  <si>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</si>
  <si>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</si>
  <si>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</si>
  <si>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</si>
  <si>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</si>
  <si>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</si>
  <si>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</si>
  <si>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</si>
  <si>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</si>
  <si>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</si>
  <si>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</si>
  <si>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</si>
  <si>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</si>
  <si>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</si>
  <si>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</si>
  <si>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</si>
  <si>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</si>
  <si>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</si>
  <si>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</si>
  <si>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</si>
  <si>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</si>
  <si>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</si>
  <si>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</si>
  <si>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</si>
  <si>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</si>
  <si>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</si>
  <si>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</si>
  <si>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</si>
  <si>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</si>
  <si>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</si>
  <si>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</si>
  <si>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</si>
  <si>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</si>
  <si>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</si>
  <si>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</si>
  <si>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</si>
  <si>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</si>
  <si>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</si>
  <si>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</si>
  <si>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</si>
  <si>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</si>
  <si>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</si>
  <si>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</si>
  <si>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</si>
  <si>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</si>
  <si>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</si>
  <si>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</si>
  <si>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</si>
  <si>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</si>
  <si>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</si>
  <si>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</si>
  <si>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</si>
  <si>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</si>
  <si>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</si>
  <si>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</si>
  <si>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</si>
  <si>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</si>
  <si>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</si>
  <si>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</si>
  <si>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</si>
  <si>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</si>
  <si>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</si>
  <si>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</si>
  <si>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</si>
  <si>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</si>
  <si>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</si>
  <si>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</si>
  <si>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</si>
  <si>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</si>
  <si>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</si>
  <si>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</si>
  <si>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</si>
  <si>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</si>
  <si>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</si>
  <si>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</si>
  <si>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</si>
  <si>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</si>
  <si>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</si>
  <si>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</si>
  <si>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</si>
  <si>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</si>
  <si>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</si>
  <si>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</si>
  <si>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</si>
  <si>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</si>
  <si>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</si>
  <si>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</si>
  <si>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</si>
  <si>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</si>
  <si>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</si>
  <si>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</si>
  <si>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</si>
  <si>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</si>
  <si>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</si>
  <si>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</si>
  <si>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</si>
  <si>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</si>
  <si>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</si>
  <si>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</si>
  <si>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</si>
  <si>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</si>
  <si>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</si>
  <si>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</si>
  <si>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</si>
  <si>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</si>
  <si>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</si>
  <si>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</si>
  <si>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</si>
  <si>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</si>
  <si>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</si>
  <si>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</si>
  <si>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</si>
  <si>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</si>
  <si>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</si>
  <si>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</si>
  <si>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</si>
  <si>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</si>
  <si>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</si>
  <si>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</si>
  <si>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</si>
  <si>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</si>
  <si>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</si>
  <si>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</si>
  <si>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</si>
  <si>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</si>
  <si>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</si>
  <si>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</si>
  <si>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</si>
  <si>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</si>
  <si>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</si>
  <si>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</si>
  <si>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</si>
  <si>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</si>
  <si>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</si>
  <si>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</si>
  <si>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</si>
  <si>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</si>
  <si>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</si>
  <si>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</si>
  <si>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</si>
  <si>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</si>
  <si>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</si>
  <si>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</si>
  <si>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</si>
  <si>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</si>
  <si>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</si>
  <si>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</si>
  <si>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</si>
  <si>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</si>
  <si>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</si>
  <si>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</si>
  <si>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</si>
  <si>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</si>
  <si>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</si>
  <si>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</si>
  <si>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</si>
  <si>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</si>
  <si>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</si>
  <si>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</si>
  <si>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</si>
  <si>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</si>
  <si>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</si>
  <si>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</si>
  <si>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</si>
  <si>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</si>
  <si>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</si>
  <si>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</si>
  <si>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</si>
  <si>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</si>
  <si>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</si>
  <si>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</si>
  <si>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</si>
  <si>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</si>
  <si>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</si>
  <si>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</si>
  <si>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</si>
  <si>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</si>
  <si>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</si>
  <si>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</si>
  <si>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</si>
  <si>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</si>
  <si>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</si>
  <si>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</si>
  <si>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</si>
  <si>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</si>
  <si>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</si>
  <si>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</si>
  <si>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</si>
  <si>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</si>
  <si>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</si>
  <si>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</si>
  <si>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</si>
  <si>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</si>
  <si>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</si>
  <si>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</si>
  <si>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</si>
  <si>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</si>
  <si>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</si>
  <si>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</si>
  <si>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</si>
  <si>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</si>
  <si>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</si>
  <si>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</si>
  <si>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</si>
  <si>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</si>
  <si>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</si>
  <si>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</si>
  <si>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</si>
  <si>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</si>
  <si>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</si>
  <si>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</si>
  <si>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</si>
  <si>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</si>
  <si>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</si>
  <si>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</si>
  <si>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</si>
  <si>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</si>
  <si>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</si>
  <si>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</si>
  <si>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</si>
  <si>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</si>
  <si>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</si>
  <si>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</si>
  <si>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</si>
  <si>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</si>
  <si>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</si>
  <si>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</si>
  <si>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</si>
  <si>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</si>
  <si>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</si>
  <si>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</si>
  <si>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</si>
  <si>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</si>
  <si>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</si>
  <si>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</si>
  <si>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</si>
  <si>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</si>
  <si>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</si>
  <si>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</si>
  <si>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</si>
  <si>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</si>
  <si>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</si>
  <si>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</si>
  <si>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</si>
  <si>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</si>
  <si>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</si>
  <si>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</si>
  <si>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</si>
  <si>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</si>
  <si>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</si>
  <si>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</si>
  <si>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</si>
  <si>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</si>
  <si>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</si>
  <si>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</si>
  <si>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</si>
  <si>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</si>
  <si>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</si>
  <si>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</si>
  <si>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</si>
  <si>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</si>
  <si>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</si>
  <si>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</si>
  <si>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</si>
  <si>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</si>
  <si>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</si>
  <si>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</si>
  <si>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</si>
  <si>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</si>
  <si>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</si>
  <si>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</si>
  <si>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</si>
  <si>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</si>
  <si>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</si>
  <si>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</si>
  <si>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</si>
  <si>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</si>
  <si>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</si>
  <si>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</si>
  <si>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</si>
  <si>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</si>
  <si>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</si>
  <si>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</si>
  <si>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</si>
  <si>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</si>
  <si>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</si>
  <si>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</si>
  <si>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</si>
  <si>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</si>
  <si>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</si>
  <si>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</si>
  <si>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</si>
  <si>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</si>
  <si>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</si>
  <si>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</si>
  <si>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</si>
  <si>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</si>
  <si>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</si>
  <si>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</si>
  <si>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</si>
  <si>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</si>
  <si>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</si>
  <si>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</si>
  <si>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</si>
  <si>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</si>
  <si>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</si>
  <si>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</si>
  <si>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</si>
  <si>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</si>
  <si>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</si>
  <si>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</si>
  <si>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</si>
  <si>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</si>
  <si>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</si>
  <si>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</si>
  <si>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</si>
  <si>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</si>
  <si>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</si>
  <si>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</si>
  <si>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</si>
  <si>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</si>
  <si>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</si>
  <si>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</si>
  <si>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</si>
  <si>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</si>
  <si>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</si>
  <si>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</si>
  <si>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</si>
  <si>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</si>
  <si>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</si>
  <si>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</si>
  <si>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</si>
  <si>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</si>
  <si>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</si>
  <si>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</si>
  <si>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</si>
  <si>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</si>
  <si>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</si>
  <si>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</si>
  <si>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</si>
  <si>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</si>
  <si>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</si>
  <si>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</si>
  <si>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</si>
  <si>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</si>
  <si>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</si>
  <si>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</si>
  <si>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</si>
  <si>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</si>
  <si>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</si>
  <si>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</si>
  <si>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</si>
  <si>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</si>
  <si>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</si>
  <si>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</si>
  <si>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</si>
  <si>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</si>
  <si>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</si>
  <si>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</si>
  <si>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</si>
  <si>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</si>
  <si>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</si>
  <si>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</si>
  <si>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</si>
  <si>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</si>
  <si>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</si>
  <si>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</si>
  <si>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</si>
  <si>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</si>
  <si>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</si>
  <si>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</si>
  <si>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</si>
  <si>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</si>
  <si>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</si>
  <si>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</si>
  <si>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</si>
  <si>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</si>
  <si>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</si>
  <si>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</si>
  <si>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</si>
  <si>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</si>
  <si>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</si>
  <si>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</si>
  <si>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</si>
  <si>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</si>
  <si>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</si>
  <si>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</si>
  <si>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</si>
  <si>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</si>
  <si>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</si>
  <si>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</si>
  <si>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</si>
  <si>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</si>
  <si>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</si>
  <si>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</si>
  <si>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</si>
  <si>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</si>
  <si>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</si>
  <si>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</si>
  <si>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</si>
  <si>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</si>
  <si>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</si>
  <si>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</si>
  <si>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</si>
  <si>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</si>
  <si>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</si>
  <si>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</si>
  <si>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</si>
  <si>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</si>
  <si>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</si>
  <si>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</si>
  <si>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</si>
  <si>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</si>
  <si>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</si>
  <si>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</si>
  <si>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</si>
  <si>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</si>
  <si>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</si>
  <si>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</si>
  <si>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</si>
  <si>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</si>
  <si>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</si>
  <si>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</si>
  <si>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</si>
  <si>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</si>
  <si>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</si>
  <si>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</si>
  <si>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</si>
  <si>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</si>
  <si>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</si>
  <si>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</si>
  <si>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</si>
  <si>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</si>
  <si>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</si>
  <si>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</si>
  <si>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</si>
  <si>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</si>
  <si>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</si>
  <si>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</si>
  <si>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</si>
  <si>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</si>
  <si>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</si>
  <si>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</si>
  <si>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</si>
  <si>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</si>
  <si>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</si>
  <si>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</si>
  <si>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</si>
  <si>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</si>
  <si>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</si>
  <si>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</si>
  <si>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</si>
  <si>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</si>
  <si>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</si>
  <si>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</si>
  <si>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</si>
  <si>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</si>
  <si>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</si>
  <si>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</si>
  <si>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</si>
  <si>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</si>
  <si>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</si>
  <si>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</si>
  <si>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</si>
  <si>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</si>
  <si>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</si>
  <si>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</si>
  <si>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</si>
  <si>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</si>
  <si>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</si>
  <si>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</si>
  <si>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</si>
  <si>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</si>
  <si>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</si>
  <si>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</si>
  <si>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</si>
  <si>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</si>
  <si>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</si>
  <si>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</si>
  <si>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</si>
  <si>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</si>
  <si>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</si>
  <si>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</si>
  <si>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</si>
  <si>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</si>
  <si>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</si>
  <si>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</si>
  <si>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</si>
  <si>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</si>
  <si>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</si>
  <si>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</si>
  <si>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</si>
  <si>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</si>
  <si>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</si>
  <si>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</si>
  <si>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</si>
  <si>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</si>
  <si>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</si>
  <si>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</si>
  <si>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</si>
  <si>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</si>
  <si>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</si>
  <si>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</si>
  <si>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</si>
  <si>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</si>
  <si>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</si>
  <si>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</si>
  <si>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</si>
  <si>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</si>
  <si>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</si>
  <si>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</si>
  <si>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</si>
  <si>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</si>
  <si>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</si>
  <si>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</si>
  <si>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</si>
  <si>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</si>
  <si>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</si>
  <si>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</si>
  <si>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</si>
  <si>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</si>
  <si>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</si>
  <si>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</si>
  <si>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</si>
  <si>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</si>
  <si>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</si>
  <si>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</si>
  <si>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</si>
  <si>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</si>
  <si>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</si>
  <si>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</si>
  <si>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</si>
  <si>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</si>
  <si>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</si>
  <si>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</si>
  <si>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</si>
  <si>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</si>
  <si>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</si>
  <si>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</si>
  <si>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</si>
  <si>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</si>
  <si>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</si>
  <si>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</si>
  <si>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</si>
  <si>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</si>
  <si>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</si>
  <si>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</si>
  <si>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</si>
  <si>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</si>
  <si>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</si>
  <si>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</si>
  <si>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</si>
  <si>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</si>
  <si>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</si>
  <si>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</si>
  <si>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</si>
  <si>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</si>
  <si>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</si>
  <si>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</si>
  <si>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</si>
  <si>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</si>
  <si>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</si>
  <si>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</si>
  <si>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</si>
  <si>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</si>
  <si>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</si>
  <si>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</si>
  <si>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</si>
  <si>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</si>
  <si>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</si>
  <si>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</si>
  <si>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</si>
  <si>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</si>
  <si>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</si>
  <si>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</si>
  <si>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</si>
  <si>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</si>
  <si>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</si>
  <si>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</si>
  <si>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</si>
  <si>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</si>
  <si>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</si>
  <si>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</si>
  <si>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</si>
  <si>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</si>
  <si>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</si>
  <si>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</si>
  <si>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</si>
  <si>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</si>
  <si>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</si>
  <si>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</si>
  <si>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</si>
  <si>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</si>
  <si>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</si>
  <si>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</si>
  <si>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</si>
  <si>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</si>
  <si>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</si>
  <si>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</si>
  <si>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</si>
  <si>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</si>
  <si>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</si>
  <si>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</si>
  <si>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</si>
  <si>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</si>
  <si>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</si>
  <si>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</si>
  <si>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</si>
  <si>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</si>
  <si>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</si>
  <si>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</si>
  <si>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</si>
  <si>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</si>
  <si>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</si>
  <si>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</si>
  <si>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</si>
  <si>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</si>
  <si>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</si>
  <si>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</si>
  <si>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</si>
  <si>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</si>
  <si>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</si>
  <si>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</si>
  <si>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</si>
  <si>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</si>
  <si>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</si>
  <si>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</si>
  <si>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</si>
  <si>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</si>
  <si>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</si>
  <si>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</si>
  <si>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</si>
  <si>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</si>
  <si>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</si>
  <si>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</si>
  <si>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</si>
  <si>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</si>
  <si>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</si>
  <si>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</si>
  <si>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</si>
  <si>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</si>
  <si>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</si>
  <si>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</si>
  <si>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</si>
  <si>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</si>
  <si>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</si>
  <si>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</si>
  <si>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</si>
  <si>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</si>
  <si>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</si>
  <si>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</si>
  <si>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</si>
  <si>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</si>
  <si>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</si>
  <si>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</si>
  <si>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</si>
  <si>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</si>
  <si>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</si>
  <si>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</si>
  <si>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</si>
  <si>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</si>
  <si>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</si>
  <si>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</si>
  <si>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</si>
  <si>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</si>
  <si>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</si>
  <si>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</si>
  <si>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</si>
  <si>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</si>
  <si>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</si>
  <si>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</si>
  <si>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</si>
  <si>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</si>
  <si>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</si>
  <si>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</si>
  <si>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</si>
  <si>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</si>
  <si>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</si>
  <si>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</si>
  <si>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</si>
  <si>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</si>
  <si>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</si>
  <si>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</si>
  <si>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</si>
  <si>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</si>
  <si>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</si>
  <si>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</si>
  <si>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</si>
  <si>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</si>
  <si>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</si>
  <si>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</si>
  <si>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</si>
  <si>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</si>
  <si>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</si>
  <si>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</si>
  <si>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</si>
  <si>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</si>
  <si>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</si>
  <si>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</si>
  <si>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</si>
  <si>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</si>
  <si>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</si>
  <si>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</si>
  <si>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</si>
  <si>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</si>
  <si>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</si>
  <si>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</si>
  <si>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</si>
  <si>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</si>
  <si>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</si>
  <si>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</si>
  <si>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</si>
  <si>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</si>
  <si>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</si>
  <si>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</si>
  <si>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</si>
  <si>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</si>
  <si>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</si>
  <si>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</si>
  <si>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</si>
  <si>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</si>
  <si>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</si>
  <si>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</si>
  <si>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</si>
  <si>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</si>
  <si>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</si>
  <si>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</si>
  <si>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</si>
  <si>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</si>
  <si>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</si>
  <si>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</si>
  <si>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</si>
  <si>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</si>
  <si>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</si>
  <si>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</si>
  <si>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</si>
  <si>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</si>
  <si>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</si>
  <si>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</si>
  <si>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</si>
  <si>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</si>
  <si>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</si>
  <si>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</si>
  <si>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</si>
  <si>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</si>
  <si>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</si>
  <si>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</si>
  <si>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</si>
  <si>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</si>
  <si>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</si>
  <si>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</si>
  <si>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</si>
  <si>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</si>
  <si>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</si>
  <si>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</si>
  <si>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</si>
  <si>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</si>
  <si>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</si>
  <si>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</si>
  <si>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</si>
  <si>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</si>
  <si>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</si>
  <si>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</si>
  <si>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</si>
  <si>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</si>
  <si>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</si>
  <si>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</si>
  <si>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</si>
  <si>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</si>
  <si>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</si>
  <si>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</si>
  <si>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</si>
  <si>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</si>
  <si>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</si>
  <si>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</si>
  <si>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</si>
  <si>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</si>
  <si>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</si>
  <si>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</si>
  <si>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</si>
  <si>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</si>
  <si>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</si>
  <si>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</si>
  <si>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</si>
  <si>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</si>
  <si>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</si>
  <si>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</si>
  <si>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</si>
  <si>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</si>
  <si>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</si>
  <si>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</si>
  <si>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</si>
  <si>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</si>
  <si>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</si>
  <si>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</si>
  <si>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</si>
  <si>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</si>
  <si>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</si>
  <si>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</si>
  <si>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</si>
  <si>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</si>
  <si>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</si>
  <si>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</si>
  <si>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</si>
  <si>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</si>
  <si>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</si>
  <si>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</si>
  <si>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</si>
  <si>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</si>
  <si>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</si>
  <si>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</si>
  <si>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</si>
  <si>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</si>
  <si>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</si>
  <si>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</si>
  <si>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</si>
  <si>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</si>
  <si>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</si>
  <si>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</si>
  <si>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</si>
  <si>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</si>
  <si>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</si>
  <si>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</si>
  <si>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</si>
  <si>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</si>
  <si>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</si>
  <si>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</si>
  <si>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</si>
  <si>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</si>
  <si>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</si>
  <si>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</si>
  <si>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</si>
  <si>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</si>
  <si>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</si>
  <si>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</si>
  <si>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</si>
  <si>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</si>
  <si>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</si>
  <si>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</si>
  <si>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</si>
  <si>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</si>
  <si>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</si>
  <si>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</si>
  <si>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</si>
  <si>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</si>
  <si>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</si>
  <si>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</si>
  <si>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</si>
  <si>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</si>
  <si>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</si>
  <si>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</si>
  <si>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</si>
  <si>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</si>
  <si>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</si>
  <si>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</si>
  <si>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</si>
  <si>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</si>
  <si>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</si>
  <si>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</si>
  <si>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</si>
  <si>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</si>
  <si>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</si>
  <si>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</si>
  <si>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</si>
  <si>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</si>
  <si>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</si>
  <si>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</si>
  <si>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</si>
  <si>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</si>
  <si>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</si>
  <si>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</si>
  <si>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</si>
  <si>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</si>
  <si>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</si>
  <si>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</si>
  <si>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</si>
  <si>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</si>
  <si>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</si>
  <si>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</si>
  <si>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</si>
  <si>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</si>
  <si>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</si>
  <si>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</si>
  <si>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</si>
  <si>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</si>
  <si>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</si>
  <si>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</si>
  <si>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</si>
  <si>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</si>
  <si>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</si>
  <si>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</si>
  <si>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</si>
  <si>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</si>
  <si>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</si>
  <si>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</si>
  <si>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</si>
  <si>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</si>
  <si>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</si>
  <si>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</si>
  <si>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</si>
  <si>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</si>
  <si>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</si>
  <si>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</si>
  <si>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</si>
  <si>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</si>
  <si>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</si>
  <si>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</si>
  <si>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</si>
  <si>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</si>
  <si>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</si>
  <si>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</si>
  <si>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</si>
  <si>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</si>
  <si>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</si>
  <si>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</si>
  <si>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</si>
  <si>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</si>
  <si>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</si>
  <si>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</si>
  <si>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</si>
  <si>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</si>
  <si>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</si>
  <si>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</si>
  <si>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</si>
  <si>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</si>
  <si>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</si>
  <si>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</si>
  <si>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</si>
  <si>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</si>
  <si>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</si>
  <si>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</si>
  <si>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</si>
  <si>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</si>
  <si>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</si>
  <si>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</si>
  <si>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</si>
  <si>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</si>
  <si>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</si>
  <si>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</si>
  <si>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</si>
  <si>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</si>
  <si>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</si>
  <si>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</si>
  <si>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</si>
  <si>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</si>
  <si>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</si>
  <si>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</si>
  <si>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</si>
  <si>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</si>
  <si>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</si>
  <si>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</si>
  <si>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</si>
  <si>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</si>
  <si>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</si>
  <si>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</si>
  <si>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</si>
  <si>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</si>
  <si>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</si>
  <si>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</si>
  <si>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</si>
  <si>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</si>
  <si>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</si>
  <si>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</si>
  <si>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</si>
  <si>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</si>
  <si>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</si>
  <si>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</si>
  <si>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</si>
  <si>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</si>
  <si>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</si>
  <si>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</si>
  <si>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</si>
  <si>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</si>
  <si>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</si>
  <si>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</si>
  <si>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</si>
  <si>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</si>
  <si>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</si>
  <si>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</si>
  <si>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</si>
  <si>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</si>
  <si>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</si>
  <si>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</si>
  <si>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</si>
  <si>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</si>
  <si>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</si>
  <si>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</si>
  <si>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</si>
  <si>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</si>
  <si>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</si>
  <si>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</si>
  <si>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</si>
  <si>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</si>
  <si>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</si>
  <si>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</si>
  <si>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</si>
  <si>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</si>
  <si>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</si>
  <si>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</si>
  <si>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</si>
  <si>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</si>
  <si>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</si>
  <si>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</si>
  <si>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</si>
  <si>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</si>
  <si>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</si>
  <si>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</si>
  <si>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</si>
  <si>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</si>
  <si>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</si>
  <si>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</si>
  <si>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</si>
  <si>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</si>
  <si>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</si>
  <si>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</si>
  <si>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</si>
  <si>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</si>
  <si>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</si>
  <si>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</si>
  <si>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</si>
  <si>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</si>
  <si>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</si>
  <si>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</si>
  <si>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</si>
  <si>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</si>
  <si>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</si>
  <si>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</si>
  <si>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</si>
  <si>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</si>
  <si>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</si>
  <si>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</si>
  <si>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</si>
  <si>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</si>
  <si>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</si>
  <si>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</si>
  <si>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</si>
  <si>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</si>
  <si>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</si>
  <si>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</si>
  <si>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</si>
  <si>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</si>
  <si>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</si>
  <si>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</si>
  <si>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</si>
  <si>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</si>
  <si>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</si>
  <si>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</si>
  <si>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</si>
  <si>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</si>
  <si>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</si>
  <si>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</si>
  <si>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</si>
  <si>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</si>
  <si>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</si>
  <si>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</si>
  <si>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</si>
  <si>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</si>
  <si>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</si>
  <si>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</si>
  <si>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</si>
  <si>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</si>
  <si>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</si>
  <si>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</si>
  <si>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</si>
  <si>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</si>
  <si>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</si>
  <si>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</si>
  <si>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</si>
  <si>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</si>
  <si>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</si>
  <si>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</si>
  <si>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</si>
  <si>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</si>
  <si>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</si>
  <si>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</si>
  <si>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</si>
  <si>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</si>
  <si>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</si>
  <si>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</si>
  <si>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</si>
  <si>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</si>
  <si>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</si>
  <si>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</si>
  <si>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</si>
  <si>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</si>
  <si>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</si>
  <si>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</si>
  <si>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</si>
  <si>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</si>
  <si>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</si>
  <si>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</si>
  <si>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</si>
  <si>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</si>
  <si>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</si>
  <si>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</si>
  <si>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</si>
  <si>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</si>
  <si>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</si>
  <si>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</si>
  <si>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</si>
  <si>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</si>
  <si>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</si>
  <si>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</si>
  <si>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</si>
  <si>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</si>
  <si>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</si>
  <si>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</si>
  <si>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</si>
  <si>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</si>
  <si>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</si>
  <si>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</si>
  <si>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</si>
  <si>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</si>
  <si>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</si>
  <si>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</si>
  <si>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</si>
  <si>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</si>
  <si>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</si>
  <si>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</si>
  <si>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</si>
  <si>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</si>
  <si>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</si>
  <si>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</si>
  <si>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</si>
  <si>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</si>
  <si>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</si>
  <si>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</si>
  <si>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</si>
  <si>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</si>
  <si>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</si>
  <si>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</si>
  <si>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</si>
  <si>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</si>
  <si>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</si>
  <si>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</si>
  <si>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</si>
  <si>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</si>
  <si>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</si>
  <si>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</si>
  <si>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</si>
  <si>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</si>
  <si>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</si>
  <si>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</si>
  <si>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</si>
  <si>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</si>
  <si>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</si>
  <si>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</si>
  <si>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</si>
  <si>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</si>
  <si>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</si>
  <si>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</si>
  <si>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</si>
  <si>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</si>
  <si>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</si>
  <si>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</si>
  <si>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</si>
  <si>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</si>
  <si>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</si>
  <si>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</si>
  <si>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</si>
  <si>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</si>
  <si>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</si>
  <si>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</si>
  <si>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</si>
  <si>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</si>
  <si>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</si>
  <si>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</si>
  <si>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</si>
  <si>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</si>
  <si>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</si>
  <si>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</si>
  <si>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</si>
  <si>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</si>
  <si>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</si>
  <si>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</si>
  <si>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</si>
  <si>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</si>
  <si>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</si>
  <si>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</si>
  <si>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</si>
  <si>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</si>
  <si>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</si>
  <si>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</si>
  <si>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</si>
  <si>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</si>
  <si>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</si>
  <si>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</si>
  <si>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</si>
  <si>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</si>
  <si>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</si>
  <si>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</si>
  <si>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</si>
  <si>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</si>
  <si>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</si>
  <si>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</si>
  <si>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</si>
  <si>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</si>
  <si>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</si>
  <si>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</si>
  <si>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</si>
  <si>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</si>
  <si>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</si>
  <si>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</si>
  <si>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</si>
  <si>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</si>
  <si>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</si>
  <si>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</si>
  <si>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</si>
  <si>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</si>
  <si>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</si>
  <si>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</si>
  <si>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</si>
  <si>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</si>
  <si>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</si>
  <si>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</si>
  <si>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</si>
  <si>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</si>
  <si>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</si>
  <si>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</si>
  <si>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</si>
  <si>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</si>
  <si>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</si>
  <si>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</si>
  <si>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</si>
  <si>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</si>
  <si>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</si>
  <si>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</si>
  <si>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</si>
  <si>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</si>
  <si>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</si>
  <si>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</si>
  <si>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</si>
  <si>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</si>
  <si>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</si>
  <si>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</si>
  <si>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</si>
  <si>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</si>
  <si>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</si>
  <si>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</si>
  <si>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</si>
  <si>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</si>
  <si>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</si>
  <si>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</si>
  <si>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</si>
  <si>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</si>
  <si>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</si>
  <si>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</si>
  <si>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</si>
  <si>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</si>
  <si>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</si>
  <si>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</si>
  <si>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</si>
  <si>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</si>
  <si>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</si>
  <si>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</si>
  <si>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</si>
  <si>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</si>
  <si>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</si>
  <si>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</si>
  <si>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</si>
  <si>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</si>
  <si>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</si>
  <si>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</si>
  <si>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</si>
  <si>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</si>
  <si>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</si>
  <si>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</si>
  <si>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</si>
  <si>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</si>
  <si>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</si>
  <si>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</si>
  <si>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</si>
  <si>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</si>
  <si>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</si>
  <si>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</si>
  <si>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</si>
  <si>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</si>
  <si>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</si>
  <si>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</si>
  <si>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</si>
  <si>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</si>
  <si>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</si>
  <si>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</si>
  <si>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</si>
  <si>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</si>
  <si>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</si>
  <si>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</si>
  <si>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</si>
  <si>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</si>
  <si>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</si>
  <si>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</si>
  <si>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</si>
  <si>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</si>
  <si>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</si>
  <si>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</si>
  <si>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</si>
  <si>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</si>
  <si>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</si>
  <si>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</si>
  <si>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</si>
  <si>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</si>
  <si>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</si>
  <si>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</si>
  <si>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</si>
  <si>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</si>
  <si>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</si>
  <si>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</si>
  <si>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</si>
  <si>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</si>
  <si>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</si>
  <si>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</si>
  <si>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</si>
  <si>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</si>
  <si>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</si>
  <si>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</si>
  <si>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</si>
  <si>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</si>
  <si>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</si>
  <si>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</si>
  <si>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</si>
  <si>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</si>
  <si>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</si>
  <si>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</si>
  <si>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</si>
  <si>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</si>
  <si>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</si>
  <si>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</si>
  <si>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</si>
  <si>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</si>
  <si>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</si>
  <si>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</si>
  <si>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</si>
  <si>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</si>
  <si>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</si>
  <si>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</si>
  <si>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</si>
  <si>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</si>
  <si>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</si>
  <si>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</si>
  <si>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</si>
  <si>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</si>
  <si>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</si>
  <si>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</si>
  <si>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</si>
  <si>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</si>
  <si>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</si>
  <si>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</si>
  <si>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</si>
  <si>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</si>
  <si>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</si>
  <si>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</si>
  <si>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</si>
  <si>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</si>
  <si>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</si>
  <si>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</si>
  <si>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</si>
  <si>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</si>
  <si>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</si>
  <si>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</si>
  <si>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</si>
  <si>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</si>
  <si>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</si>
  <si>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</si>
  <si>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</si>
  <si>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</si>
  <si>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</si>
  <si>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</si>
  <si>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</si>
  <si>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</si>
  <si>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</si>
  <si>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</si>
  <si>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</si>
  <si>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</si>
  <si>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</si>
  <si>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</si>
  <si>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</si>
  <si>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</si>
  <si>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</si>
  <si>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</si>
  <si>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</si>
  <si>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</si>
  <si>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</si>
  <si>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</si>
  <si>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</si>
  <si>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</si>
  <si>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</si>
  <si>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</si>
  <si>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</si>
  <si>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</si>
  <si>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</si>
  <si>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</si>
  <si>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</si>
  <si>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</si>
  <si>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</si>
  <si>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</si>
  <si>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</si>
  <si>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</si>
  <si>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</si>
  <si>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</si>
  <si>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</si>
  <si>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</si>
  <si>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</si>
  <si>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</si>
  <si>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</si>
  <si>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</si>
  <si>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</si>
  <si>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</si>
  <si>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</si>
  <si>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</si>
  <si>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</si>
  <si>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</si>
  <si>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</si>
  <si>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</si>
  <si>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</si>
  <si>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</si>
  <si>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</si>
  <si>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</si>
  <si>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</si>
  <si>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</si>
  <si>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</si>
  <si>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</si>
  <si>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</si>
  <si>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</si>
  <si>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</si>
  <si>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</si>
  <si>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</si>
  <si>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</si>
  <si>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</si>
  <si>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</si>
  <si>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</si>
  <si>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</si>
  <si>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</si>
  <si>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</si>
  <si>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</si>
  <si>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</si>
  <si>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</si>
  <si>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</si>
  <si>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</si>
  <si>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</si>
  <si>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</si>
  <si>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</si>
  <si>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</si>
  <si>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</si>
  <si>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</si>
  <si>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</si>
  <si>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</si>
  <si>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</si>
  <si>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</si>
  <si>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</si>
  <si>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</si>
  <si>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</si>
  <si>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</si>
  <si>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</si>
  <si>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</si>
  <si>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</si>
  <si>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</si>
  <si>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</si>
  <si>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</si>
  <si>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</si>
  <si>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</si>
  <si>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</si>
  <si>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</si>
  <si>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</si>
  <si>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</si>
  <si>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</si>
  <si>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</si>
  <si>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</si>
  <si>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</si>
  <si>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</si>
  <si>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</si>
  <si>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</si>
  <si>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</si>
  <si>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</si>
  <si>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</si>
  <si>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</si>
  <si>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</si>
  <si>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</si>
  <si>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</si>
  <si>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</si>
  <si>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</si>
  <si>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</si>
  <si>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</si>
  <si>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</si>
  <si>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</si>
  <si>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</si>
  <si>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</si>
  <si>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</si>
  <si>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</si>
  <si>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</si>
  <si>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</si>
  <si>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</si>
  <si>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</si>
  <si>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</si>
  <si>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</si>
  <si>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</si>
  <si>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</si>
  <si>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</si>
  <si>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</si>
  <si>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</si>
  <si>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</si>
  <si>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</si>
  <si>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</si>
  <si>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</si>
  <si>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</si>
  <si>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</si>
  <si>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</si>
  <si>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</si>
  <si>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</si>
  <si>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</si>
  <si>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</si>
  <si>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</si>
  <si>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</si>
  <si>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</si>
  <si>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</si>
  <si>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</si>
  <si>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</si>
  <si>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</si>
  <si>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</si>
  <si>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</si>
  <si>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</si>
  <si>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</si>
  <si>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</si>
  <si>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</si>
  <si>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</si>
  <si>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Columbia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</si>
</sst>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E670" sqref="E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107</v>
      </c>
      <c r="C2" s="21">
        <v>107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18137.7+131039.05</f>
        <v>149176.75</v>
      </c>
      <c r="G9" s="18"/>
      <c r="H9" s="18"/>
      <c r="I9" s="18"/>
      <c r="J9" s="67">
        <f>SUM(I440)</f>
        <v>268629.43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199943.29</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675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349795.04000000004</v>
      </c>
      <c r="G19" s="41">
        <f>SUM(G9:G18)</f>
        <v>0</v>
      </c>
      <c r="H19" s="41">
        <f>SUM(H9:H18)</f>
        <v>0</v>
      </c>
      <c r="I19" s="41">
        <f>SUM(I9:I18)</f>
        <v>0</v>
      </c>
      <c r="J19" s="41">
        <f>SUM(J9:J18)</f>
        <v>268629.43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3025.18</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3025.18</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268629.43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346769.86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346769.86</v>
      </c>
      <c r="G51" s="41">
        <f>SUM(G35:G50)</f>
        <v>0</v>
      </c>
      <c r="H51" s="41">
        <f>SUM(H35:H50)</f>
        <v>0</v>
      </c>
      <c r="I51" s="41">
        <f>SUM(I35:I50)</f>
        <v>0</v>
      </c>
      <c r="J51" s="41">
        <f>SUM(J35:J50)</f>
        <v>268629.43</v>
      </c>
      <c r="K51" s="45" t="s">
        <v>288</v>
      </c>
      <c r="L51" s="45" t="s">
        <v>288</v>
      </c>
      <c r="N51" s="264"/>
    </row>
    <row r="52" spans="1:14" s="3" customFormat="1" ht="12.2" customHeight="1" thickTop="1" x14ac:dyDescent="0.15">
      <c r="A52" s="38" t="s">
        <v>455</v>
      </c>
      <c r="B52" s="39" t="s">
        <v>289</v>
      </c>
      <c r="C52" s="6">
        <v>37</v>
      </c>
      <c r="D52" s="39" t="s">
        <v>653</v>
      </c>
      <c r="E52" s="39"/>
      <c r="F52" s="41">
        <f>F51+F32</f>
        <v>349795.04</v>
      </c>
      <c r="G52" s="41">
        <f>G51+G32</f>
        <v>0</v>
      </c>
      <c r="H52" s="41">
        <f>H51+H32</f>
        <v>0</v>
      </c>
      <c r="I52" s="41">
        <f>I51+I32</f>
        <v>0</v>
      </c>
      <c r="J52" s="41">
        <f>J51+J32</f>
        <v>268629.43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615492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615492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14.24</v>
      </c>
      <c r="G96" s="18"/>
      <c r="H96" s="18"/>
      <c r="I96" s="18"/>
      <c r="J96" s="18">
        <v>164.04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16.64</v>
      </c>
      <c r="G111" s="41">
        <f>SUM(G96:G110)</f>
        <v>0</v>
      </c>
      <c r="H111" s="41">
        <f>SUM(H96:H110)</f>
        <v>0</v>
      </c>
      <c r="I111" s="41">
        <f>SUM(I96:I110)</f>
        <v>0</v>
      </c>
      <c r="J111" s="41">
        <f>SUM(J96:J110)</f>
        <v>164.04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615508.64</v>
      </c>
      <c r="G112" s="41">
        <f>G60+G111</f>
        <v>0</v>
      </c>
      <c r="H112" s="41">
        <f>H60+H79+H94+H111</f>
        <v>0</v>
      </c>
      <c r="I112" s="41">
        <f>I60+I111</f>
        <v>0</v>
      </c>
      <c r="J112" s="41">
        <f>J60+J111</f>
        <v>164.04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375802.58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128653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504455.58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3617.31</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3617.31</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508072.89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c r="H161" s="18">
        <v>11800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0</v>
      </c>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11800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11800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1123581.53</v>
      </c>
      <c r="G194" s="47">
        <f>G112+G140+G170+G193</f>
        <v>0</v>
      </c>
      <c r="H194" s="47">
        <f>H112+H140+H170+H193</f>
        <v>11800</v>
      </c>
      <c r="I194" s="47">
        <f>I112+I140+I170+I193</f>
        <v>0</v>
      </c>
      <c r="J194" s="47">
        <f>J112+J140+J193</f>
        <v>50164.04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512679.57</v>
      </c>
      <c r="I198" s="18"/>
      <c r="J198" s="18"/>
      <c r="K198" s="18"/>
      <c r="L198" s="19">
        <f>SUM(F198:K198)</f>
        <v>512679.57</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v>171</v>
      </c>
      <c r="H203" s="18">
        <f>27655.92</f>
        <v>27655.919999999998</v>
      </c>
      <c r="I203" s="18"/>
      <c r="J203" s="18"/>
      <c r="K203" s="18">
        <v>0</v>
      </c>
      <c r="L203" s="19">
        <f t="shared" ref="L203:L209" si="0">SUM(F203:K203)</f>
        <v>27826.92</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1157.29</v>
      </c>
      <c r="G205" s="18">
        <v>185.77</v>
      </c>
      <c r="H205" s="18">
        <f>44736.42+1854.26</f>
        <v>46590.68</v>
      </c>
      <c r="I205" s="18">
        <v>19.12</v>
      </c>
      <c r="J205" s="18">
        <v>0</v>
      </c>
      <c r="K205" s="18">
        <v>1988.57</v>
      </c>
      <c r="L205" s="19">
        <f t="shared" si="0"/>
        <v>49941.43</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44567.839999999997</v>
      </c>
      <c r="I209" s="18"/>
      <c r="J209" s="18"/>
      <c r="K209" s="18"/>
      <c r="L209" s="19">
        <f t="shared" si="0"/>
        <v>44567.839999999997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1157.29</v>
      </c>
      <c r="G212" s="41">
        <f t="shared" si="1"/>
        <v>356.77</v>
      </c>
      <c r="H212" s="41">
        <f t="shared" si="1"/>
        <v>631494.01</v>
      </c>
      <c r="I212" s="41">
        <f t="shared" si="1"/>
        <v>19.12</v>
      </c>
      <c r="J212" s="41">
        <f t="shared" si="1"/>
        <v>0</v>
      </c>
      <c r="K212" s="41">
        <f t="shared" si="1"/>
        <v>1988.57</v>
      </c>
      <c r="L212" s="41">
        <f t="shared" si="1"/>
        <v>635015.76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359815.07</v>
      </c>
      <c r="I234" s="18"/>
      <c r="J234" s="18"/>
      <c r="K234" s="18"/>
      <c r="L234" s="19">
        <f>SUM(F234:K234)</f>
        <v>359815.07</v>
      </c>
      <c r="M234" s="8"/>
      <c r="N234" s="266"/>
    </row>
    <row r="235" spans="1:14" s="3" customFormat="1" ht="12.2" customHeight="1" x14ac:dyDescent="0.15">
      <c r="A235" s="1" t="s">
        <v>439</v>
      </c>
      <c r="B235" s="2" t="s">
        <v>350</v>
      </c>
      <c r="C235" s="2" t="s">
        <v>291</v>
      </c>
      <c r="D235" s="2" t="s">
        <v>431</v>
      </c>
      <c r="E235" s="6">
        <v>1200</v>
      </c>
      <c r="F235" s="18"/>
      <c r="G235" s="18"/>
      <c r="H235" s="18">
        <v>15046.48</v>
      </c>
      <c r="I235" s="18"/>
      <c r="J235" s="18"/>
      <c r="K235" s="18"/>
      <c r="L235" s="19">
        <f>SUM(F235:K235)</f>
        <v>15046.48</v>
      </c>
      <c r="M235" s="8"/>
      <c r="N235" s="266"/>
    </row>
    <row r="236" spans="1:14" s="3" customFormat="1" ht="12.2" customHeight="1" x14ac:dyDescent="0.15">
      <c r="A236" s="1" t="s">
        <v>440</v>
      </c>
      <c r="B236" s="2" t="s">
        <v>350</v>
      </c>
      <c r="C236" s="2" t="s">
        <v>292</v>
      </c>
      <c r="D236" s="2" t="s">
        <v>431</v>
      </c>
      <c r="E236" s="6">
        <v>1300</v>
      </c>
      <c r="F236" s="18"/>
      <c r="G236" s="18"/>
      <c r="H236" s="18">
        <v>3900</v>
      </c>
      <c r="I236" s="18"/>
      <c r="J236" s="18"/>
      <c r="K236" s="18"/>
      <c r="L236" s="19">
        <f>SUM(F236:K236)</f>
        <v>3900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1854.57</v>
      </c>
      <c r="I239" s="18"/>
      <c r="J239" s="18"/>
      <c r="K239" s="18">
        <v>0</v>
      </c>
      <c r="L239" s="19">
        <f t="shared" ref="L239:L245" si="4">SUM(F239:K239)</f>
        <v>1854.57</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709.31</v>
      </c>
      <c r="G241" s="18">
        <v>121.32</v>
      </c>
      <c r="H241" s="18">
        <f>19565.58+979.74</f>
        <v>20545.320000000003</v>
      </c>
      <c r="I241" s="18">
        <v>10.75</v>
      </c>
      <c r="J241" s="18"/>
      <c r="K241" s="18">
        <v>828.67</v>
      </c>
      <c r="L241" s="19">
        <f t="shared" si="4"/>
        <v>22215.370000000003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27875.64</v>
      </c>
      <c r="I245" s="18"/>
      <c r="J245" s="18"/>
      <c r="K245" s="18"/>
      <c r="L245" s="19">
        <f t="shared" si="4"/>
        <v>27875.64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709.31</v>
      </c>
      <c r="G248" s="41">
        <f t="shared" si="5"/>
        <v>121.32</v>
      </c>
      <c r="H248" s="41">
        <f t="shared" si="5"/>
        <v>429037.08</v>
      </c>
      <c r="I248" s="41">
        <f t="shared" si="5"/>
        <v>10.75</v>
      </c>
      <c r="J248" s="41">
        <f t="shared" si="5"/>
        <v>0</v>
      </c>
      <c r="K248" s="41">
        <f t="shared" si="5"/>
        <v>828.67</v>
      </c>
      <c r="L248" s="41">
        <f t="shared" si="5"/>
        <v>430707.13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1866.6</v>
      </c>
      <c r="G258" s="41">
        <f t="shared" si="8"/>
        <v>478.09</v>
      </c>
      <c r="H258" s="41">
        <f t="shared" si="8"/>
        <v>1060531.0900000001</v>
      </c>
      <c r="I258" s="41">
        <f t="shared" si="8"/>
        <v>29.87</v>
      </c>
      <c r="J258" s="41">
        <f t="shared" si="8"/>
        <v>0</v>
      </c>
      <c r="K258" s="41">
        <f t="shared" si="8"/>
        <v>2817.24</v>
      </c>
      <c r="L258" s="41">
        <f t="shared" si="8"/>
        <v>1065722.8900000001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32000+18000</f>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50000</v>
      </c>
      <c r="L271" s="41">
        <f t="shared" si="9"/>
        <v>50000</v>
      </c>
      <c r="M271" s="8"/>
      <c r="N271" s="266"/>
    </row>
    <row r="272" spans="1:14" s="34" customFormat="1" ht="12.2" customHeight="1" thickTop="1" x14ac:dyDescent="0.2">
      <c r="A272" s="43" t="s">
        <v>464</v>
      </c>
      <c r="B272" s="40">
        <v>10</v>
      </c>
      <c r="C272" s="40">
        <v>18</v>
      </c>
      <c r="D272" s="39" t="s">
        <v>431</v>
      </c>
      <c r="E272" s="40"/>
      <c r="F272" s="42">
        <f t="shared" ref="F272:L272" si="11">F258+F271</f>
        <v>1866.6</v>
      </c>
      <c r="G272" s="42">
        <f t="shared" si="11"/>
        <v>478.09</v>
      </c>
      <c r="H272" s="42">
        <f t="shared" si="11"/>
        <v>1060531.0900000001</v>
      </c>
      <c r="I272" s="42">
        <f t="shared" si="11"/>
        <v>29.87</v>
      </c>
      <c r="J272" s="42">
        <f t="shared" si="11"/>
        <v>0</v>
      </c>
      <c r="K272" s="42">
        <f t="shared" si="11"/>
        <v>52817.24</v>
      </c>
      <c r="L272" s="42">
        <f t="shared" si="11"/>
        <v>1115722.8900000001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v>7552</v>
      </c>
      <c r="L282" s="19">
        <f t="shared" ref="L282:L288" si="12">SUM(F282:K282)</f>
        <v>7552</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7552</v>
      </c>
      <c r="L291" s="41">
        <f t="shared" si="13"/>
        <v>7552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v>4248</v>
      </c>
      <c r="L320" s="19">
        <f t="shared" ref="L320:L326" si="16">SUM(F320:K320)</f>
        <v>4248</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4248</v>
      </c>
      <c r="L329" s="41">
        <f t="shared" si="17"/>
        <v>4248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11800</v>
      </c>
      <c r="L339" s="41">
        <f t="shared" si="20"/>
        <v>11800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11800</v>
      </c>
      <c r="L353" s="41">
        <f>L339+L352</f>
        <v>11800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v>50000</v>
      </c>
      <c r="H399" s="18">
        <v>164.04</v>
      </c>
      <c r="I399" s="18"/>
      <c r="J399" s="24" t="s">
        <v>288</v>
      </c>
      <c r="K399" s="24" t="s">
        <v>288</v>
      </c>
      <c r="L399" s="56">
        <f t="shared" si="26"/>
        <v>50164.04</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164.04</v>
      </c>
      <c r="I402" s="47">
        <f>SUM(I396:I401)</f>
        <v>0</v>
      </c>
      <c r="J402" s="45" t="s">
        <v>288</v>
      </c>
      <c r="K402" s="45" t="s">
        <v>288</v>
      </c>
      <c r="L402" s="47">
        <f>SUM(L396:L401)</f>
        <v>50164.04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164.04</v>
      </c>
      <c r="I409" s="47">
        <f>I394+I402+I408</f>
        <v>0</v>
      </c>
      <c r="J409" s="24" t="s">
        <v>288</v>
      </c>
      <c r="K409" s="24" t="s">
        <v>288</v>
      </c>
      <c r="L409" s="47">
        <f>L394+L402+L408</f>
        <v>50164.04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268629.43</v>
      </c>
      <c r="H440" s="18"/>
      <c r="I440" s="56">
        <f t="shared" ref="I440:I446" si="33">SUM(F440:H440)</f>
        <v>268629.43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268629.43</v>
      </c>
      <c r="H447" s="13">
        <f>SUM(H440:H446)</f>
        <v>0</v>
      </c>
      <c r="I447" s="13">
        <f>SUM(I440:I446)</f>
        <v>268629.43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268629.43</v>
      </c>
      <c r="H460" s="18"/>
      <c r="I460" s="56">
        <f t="shared" si="34"/>
        <v>268629.43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268629.43</v>
      </c>
      <c r="H461" s="83">
        <f>SUM(H455:H460)</f>
        <v>0</v>
      </c>
      <c r="I461" s="83">
        <f>SUM(I455:I460)</f>
        <v>268629.43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268629.43</v>
      </c>
      <c r="H462" s="42">
        <f>H453+H461</f>
        <v>0</v>
      </c>
      <c r="I462" s="42">
        <f>I453+I461</f>
        <v>268629.43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338911.22</v>
      </c>
      <c r="G466" s="18"/>
      <c r="H466" s="18"/>
      <c r="I466" s="18"/>
      <c r="J466" s="18">
        <v>218465.39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1135381.53-11800</f>
        <v>1123581.53</v>
      </c>
      <c r="G469" s="18"/>
      <c r="H469" s="18">
        <v>11800</v>
      </c>
      <c r="I469" s="18"/>
      <c r="J469" s="18">
        <f>50000+164.04</f>
        <v>50164.04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1123581.53</v>
      </c>
      <c r="G471" s="53">
        <f>SUM(G469:G470)</f>
        <v>0</v>
      </c>
      <c r="H471" s="53">
        <f>SUM(H469:H470)</f>
        <v>11800</v>
      </c>
      <c r="I471" s="53">
        <f>SUM(I469:I470)</f>
        <v>0</v>
      </c>
      <c r="J471" s="53">
        <f>SUM(J469:J470)</f>
        <v>50164.04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1127522.89-11800</f>
        <v>1115722.8899999999</v>
      </c>
      <c r="G473" s="18"/>
      <c r="H473" s="18">
        <v>11800</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1115722.8899999999</v>
      </c>
      <c r="G475" s="53">
        <f>SUM(G473:G474)</f>
        <v>0</v>
      </c>
      <c r="H475" s="53">
        <f>SUM(H473:H474)</f>
        <v>11800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346769.8600000001</v>
      </c>
      <c r="G477" s="53">
        <f>(G466+G471)- G475</f>
        <v>0</v>
      </c>
      <c r="H477" s="53">
        <f>(H466+H471)- H475</f>
        <v>0</v>
      </c>
      <c r="I477" s="53">
        <f>(I466+I471)- I475</f>
        <v>0</v>
      </c>
      <c r="J477" s="53">
        <f>(J466+J471)- J475</f>
        <v>268629.43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15046.48</v>
      </c>
      <c r="I524" s="18"/>
      <c r="J524" s="18"/>
      <c r="K524" s="18"/>
      <c r="L524" s="88">
        <f>SUM(F524:K524)</f>
        <v>15046.48</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15046.48</v>
      </c>
      <c r="I525" s="108">
        <f t="shared" si="36"/>
        <v>0</v>
      </c>
      <c r="J525" s="108">
        <f t="shared" si="36"/>
        <v>0</v>
      </c>
      <c r="K525" s="108">
        <f t="shared" si="36"/>
        <v>0</v>
      </c>
      <c r="L525" s="89">
        <f t="shared" si="36"/>
        <v>15046.48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v>57</v>
      </c>
      <c r="H527" s="18">
        <f>8502.18+5075.73+2352</f>
        <v>15929.91</v>
      </c>
      <c r="I527" s="18"/>
      <c r="J527" s="18"/>
      <c r="K527" s="18"/>
      <c r="L527" s="88">
        <f>SUM(F527:K527)</f>
        <v>15986.91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1854.57+36.88+1323</f>
        <v>3214.45</v>
      </c>
      <c r="I529" s="18"/>
      <c r="J529" s="18"/>
      <c r="K529" s="18"/>
      <c r="L529" s="88">
        <f>SUM(F529:K529)</f>
        <v>3214.45</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57</v>
      </c>
      <c r="H530" s="89">
        <f t="shared" si="37"/>
        <v>19144.36</v>
      </c>
      <c r="I530" s="89">
        <f t="shared" si="37"/>
        <v>0</v>
      </c>
      <c r="J530" s="89">
        <f t="shared" si="37"/>
        <v>0</v>
      </c>
      <c r="K530" s="89">
        <f t="shared" si="37"/>
        <v>0</v>
      </c>
      <c r="L530" s="89">
        <f t="shared" si="37"/>
        <v>19201.36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2994</v>
      </c>
      <c r="I532" s="18"/>
      <c r="J532" s="18"/>
      <c r="K532" s="18"/>
      <c r="L532" s="88">
        <f>SUM(F532:K532)</f>
        <v>2994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1684</v>
      </c>
      <c r="I534" s="18"/>
      <c r="J534" s="18"/>
      <c r="K534" s="18"/>
      <c r="L534" s="88">
        <f>SUM(F534:K534)</f>
        <v>1684</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4678</v>
      </c>
      <c r="I535" s="89">
        <f t="shared" si="38"/>
        <v>0</v>
      </c>
      <c r="J535" s="89">
        <f t="shared" si="38"/>
        <v>0</v>
      </c>
      <c r="K535" s="89">
        <f t="shared" si="38"/>
        <v>0</v>
      </c>
      <c r="L535" s="89">
        <f t="shared" si="38"/>
        <v>4678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2806.56</v>
      </c>
      <c r="I544" s="18"/>
      <c r="J544" s="18"/>
      <c r="K544" s="18"/>
      <c r="L544" s="88">
        <f>SUM(F544:K544)</f>
        <v>2806.56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2806.56</v>
      </c>
      <c r="I545" s="193">
        <f t="shared" si="40"/>
        <v>0</v>
      </c>
      <c r="J545" s="193">
        <f t="shared" si="40"/>
        <v>0</v>
      </c>
      <c r="K545" s="193">
        <f t="shared" si="40"/>
        <v>0</v>
      </c>
      <c r="L545" s="193">
        <f t="shared" si="40"/>
        <v>2806.56</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57</v>
      </c>
      <c r="H546" s="89">
        <f t="shared" si="41"/>
        <v>41675.399999999994</v>
      </c>
      <c r="I546" s="89">
        <f t="shared" si="41"/>
        <v>0</v>
      </c>
      <c r="J546" s="89">
        <f t="shared" si="41"/>
        <v>0</v>
      </c>
      <c r="K546" s="89">
        <f t="shared" si="41"/>
        <v>0</v>
      </c>
      <c r="L546" s="89">
        <f t="shared" si="41"/>
        <v>41732.399999999994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15986.91</v>
      </c>
      <c r="H550" s="87">
        <f>L532</f>
        <v>2994</v>
      </c>
      <c r="I550" s="87">
        <f>L537</f>
        <v>0</v>
      </c>
      <c r="J550" s="87">
        <f>L542</f>
        <v>0</v>
      </c>
      <c r="K550" s="87">
        <f>SUM(F550:J550)</f>
        <v>18980.91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15046.48</v>
      </c>
      <c r="G552" s="87">
        <f>L529</f>
        <v>3214.45</v>
      </c>
      <c r="H552" s="87">
        <f>L534</f>
        <v>1684</v>
      </c>
      <c r="I552" s="87">
        <f>L539</f>
        <v>0</v>
      </c>
      <c r="J552" s="87">
        <f>L544</f>
        <v>2806.56</v>
      </c>
      <c r="K552" s="87">
        <f>SUM(F552:J552)</f>
        <v>22751.49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15046.48</v>
      </c>
      <c r="G553" s="89">
        <f t="shared" si="42"/>
        <v>19201.36</v>
      </c>
      <c r="H553" s="89">
        <f t="shared" si="42"/>
        <v>4678</v>
      </c>
      <c r="I553" s="89">
        <f t="shared" si="42"/>
        <v>0</v>
      </c>
      <c r="J553" s="89">
        <f t="shared" si="42"/>
        <v>2806.56</v>
      </c>
      <c r="K553" s="89">
        <f t="shared" si="42"/>
        <v>41732.400000000001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512679.57</v>
      </c>
      <c r="G576" s="18"/>
      <c r="H576" s="18">
        <v>359815.07</v>
      </c>
      <c r="I576" s="87">
        <f>SUM(F576:H576)</f>
        <v>872494.64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44567.839999999997</v>
      </c>
      <c r="I592" s="18"/>
      <c r="J592" s="18">
        <v>25069.08</v>
      </c>
      <c r="K592" s="104">
        <f t="shared" ref="K592:K598" si="48">SUM(H592:J592)</f>
        <v>69636.92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2806.56</v>
      </c>
      <c r="K593" s="104">
        <f t="shared" si="48"/>
        <v>2806.56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44567.839999999997</v>
      </c>
      <c r="I599" s="108">
        <f>SUM(I592:I598)</f>
        <v>0</v>
      </c>
      <c r="J599" s="108">
        <f>SUM(J592:J598)</f>
        <v>27875.640000000003</v>
      </c>
      <c r="K599" s="108">
        <f>SUM(K592:K598)</f>
        <v>72443.48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349795.04000000004</v>
      </c>
      <c r="H618" s="109">
        <f>SUM(F52)</f>
        <v>349795.04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268629.43</v>
      </c>
      <c r="H622" s="109">
        <f>SUM(J52)</f>
        <v>268629.43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346769.86</v>
      </c>
      <c r="H623" s="109">
        <f>F477</f>
        <v>346769.8600000001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268629.43</v>
      </c>
      <c r="H627" s="109">
        <f>J477</f>
        <v>268629.43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1123581.53</v>
      </c>
      <c r="H628" s="104">
        <f>SUM(F469)</f>
        <v>1123581.53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11800</v>
      </c>
      <c r="H630" s="104">
        <f>SUM(H469)</f>
        <v>11800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50164.04</v>
      </c>
      <c r="H632" s="104">
        <f>SUM(J469)</f>
        <v>50164.04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1115722.8900000001</v>
      </c>
      <c r="H633" s="104">
        <f>SUM(F473)</f>
        <v>1115722.8899999999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11800</v>
      </c>
      <c r="H634" s="104">
        <f>SUM(H473)</f>
        <v>11800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50164.04</v>
      </c>
      <c r="H638" s="164">
        <f>SUM(J469)</f>
        <v>50164.04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268629.43</v>
      </c>
      <c r="H641" s="104">
        <f>SUM(G462)</f>
        <v>268629.43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268629.43</v>
      </c>
      <c r="H643" s="104">
        <f>SUM(I462)</f>
        <v>268629.43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164.04</v>
      </c>
      <c r="H645" s="104">
        <f>H409</f>
        <v>164.04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50164.04</v>
      </c>
      <c r="H647" s="104">
        <f>L409</f>
        <v>50164.04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72443.48</v>
      </c>
      <c r="H648" s="104">
        <f>L209+L227+L245</f>
        <v>72443.48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44567.839999999997</v>
      </c>
      <c r="H650" s="104">
        <f>H599</f>
        <v>44567.839999999997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27875.64</v>
      </c>
      <c r="H652" s="104">
        <f>J599</f>
        <v>27875.640000000003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642567.76</v>
      </c>
      <c r="G661" s="19">
        <f>(L230+L310+L360)</f>
        <v>0</v>
      </c>
      <c r="H661" s="19">
        <f>(L248+L329+L361)</f>
        <v>434955.13</v>
      </c>
      <c r="I661" s="19">
        <f>SUM(F661:H661)</f>
        <v>1077522.8900000001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44567.839999999997</v>
      </c>
      <c r="G663" s="19">
        <f>(L227+L307)-(J227+J307)</f>
        <v>0</v>
      </c>
      <c r="H663" s="19">
        <f>(L245+L326)-(J245+J326)</f>
        <v>27875.64</v>
      </c>
      <c r="I663" s="19">
        <f>SUM(F663:H663)</f>
        <v>72443.48</v>
      </c>
      <c r="J663"/>
      <c r="K663" s="13"/>
      <c r="L663" s="13"/>
      <c r="M663" s="9"/>
    </row>
    <row r="664" spans="1:13" s="3" customFormat="1" ht="12.2" customHeight="1" x14ac:dyDescent="0.15">
      <c r="A664" s="198" t="s">
        <v>129</v>
      </c>
      <c r="B664" s="169"/>
      <c r="C664" s="169"/>
      <c r="D664" s="169"/>
      <c r="E664" s="169"/>
      <c r="F664" s="199">
        <f>SUM(F576:F588)+SUM(H603:H605)+SUM(L612)</f>
        <v>512679.57</v>
      </c>
      <c r="G664" s="199">
        <f>SUM(G576:G588)+SUM(I603:I605)+L613</f>
        <v>0</v>
      </c>
      <c r="H664" s="199">
        <f>SUM(H576:H588)+SUM(J603:J605)+L614</f>
        <v>359815.07</v>
      </c>
      <c r="I664" s="19">
        <f>SUM(F664:H664)</f>
        <v>872494.64</v>
      </c>
      <c r="J664" s="13"/>
      <c r="K664" s="13"/>
      <c r="L664" s="13"/>
      <c r="M664" s="9"/>
    </row>
    <row r="665" spans="1:13" s="3" customFormat="1" ht="12.2" customHeight="1" x14ac:dyDescent="0.15">
      <c r="A665" s="1" t="s">
        <v>130</v>
      </c>
      <c r="F665" s="19">
        <f>F661-SUM(F662:F664)</f>
        <v>85320.349999999977</v>
      </c>
      <c r="G665" s="19">
        <f>G661-SUM(G662:G664)</f>
        <v>0</v>
      </c>
      <c r="H665" s="19">
        <f>H661-SUM(H662:H664)</f>
        <v>47264.419999999984</v>
      </c>
      <c r="I665" s="19">
        <f>I661-SUM(I662:I664)</f>
        <v>132584.77000000014</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-85320.35</v>
      </c>
      <c r="G670" s="18"/>
      <c r="H670" s="18">
        <v>-47264.42</v>
      </c>
      <c r="I670" s="19">
        <f>SUM(F670:H670)</f>
        <v>-132584.77000000002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11800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11800</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v>11800</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Columbia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Columbia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Columbia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891441.12</v>
      </c>
      <c r="D5" s="20">
        <f>SUM('DOE25'!L198:L201)+SUM('DOE25'!L216:L219)+SUM('DOE25'!L234:L237)-F5-G5-H5</f>
        <v>891441.12</v>
      </c>
      <c r="E5" s="243"/>
      <c r="F5" s="244"/>
      <c r="G5" s="53">
        <f>SUM('DOE25'!J198:J201)+SUM('DOE25'!J216:J219)+SUM('DOE25'!J234:J237)</f>
        <v>0</v>
      </c>
      <c r="H5" s="53">
        <f>SUM('DOE25'!K198:K201)+SUM('DOE25'!K216:K219)+SUM('DOE25'!K234:K237)</f>
        <v>0</v>
      </c>
      <c r="I5" s="256"/>
    </row>
    <row r="6" spans="1:9" x14ac:dyDescent="0.2">
      <c r="A6" s="32">
        <v>2100</v>
      </c>
      <c r="B6" t="s">
        <v>796</v>
      </c>
      <c r="C6" s="275">
        <f t="shared" si="0"/>
        <v>29681.489999999998</v>
      </c>
      <c r="D6" s="20">
        <f>'DOE25'!L203+'DOE25'!L221+'DOE25'!L239-F6-G6-H6</f>
        <v>29681.489999999998</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45081.539999999994</v>
      </c>
      <c r="D8" s="243"/>
      <c r="E8" s="20">
        <f>'DOE25'!L205+'DOE25'!L223+'DOE25'!L241-F8-G8-H8-D9-D11</f>
        <v>42264.299999999996</v>
      </c>
      <c r="F8" s="244"/>
      <c r="G8" s="53">
        <f>'DOE25'!J205+'DOE25'!J223+'DOE25'!J241</f>
        <v>0</v>
      </c>
      <c r="H8" s="53">
        <f>'DOE25'!K205+'DOE25'!K223+'DOE25'!K241</f>
        <v>2817.24</v>
      </c>
      <c r="I8" s="256"/>
    </row>
    <row r="9" spans="1:9" ht="14.25" x14ac:dyDescent="0.2">
      <c r="A9" s="32">
        <v>2310</v>
      </c>
      <c r="B9" s="185" t="s">
        <v>888</v>
      </c>
      <c r="C9" s="275">
        <f t="shared" si="0"/>
        <v>13422.8</v>
      </c>
      <c r="D9" s="244">
        <v>13422.8</v>
      </c>
      <c r="E9" s="243"/>
      <c r="F9" s="253"/>
      <c r="G9" s="253"/>
      <c r="H9" s="253"/>
      <c r="I9" s="256"/>
    </row>
    <row r="10" spans="1:9" ht="14.25" x14ac:dyDescent="0.2">
      <c r="A10" s="32">
        <v>2317</v>
      </c>
      <c r="B10" s="185" t="s">
        <v>889</v>
      </c>
      <c r="C10" s="275">
        <f t="shared" si="0"/>
        <v>5000</v>
      </c>
      <c r="D10" s="243"/>
      <c r="E10" s="244">
        <v>5000</v>
      </c>
      <c r="F10" s="253"/>
      <c r="G10" s="253"/>
      <c r="H10" s="253"/>
      <c r="I10" s="256"/>
    </row>
    <row r="11" spans="1:9" ht="14.25" x14ac:dyDescent="0.2">
      <c r="A11" s="32">
        <v>2321</v>
      </c>
      <c r="B11" s="185" t="s">
        <v>890</v>
      </c>
      <c r="C11" s="275">
        <f t="shared" si="0"/>
        <v>13652.46</v>
      </c>
      <c r="D11" s="244">
        <v>13652.46</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72443.48</v>
      </c>
      <c r="D15" s="20">
        <f>'DOE25'!L209+'DOE25'!L227+'DOE25'!L245-F15-G15-H15</f>
        <v>27806.559999999998</v>
      </c>
      <c r="E15" s="243"/>
      <c r="F15" s="244">
        <v>44636.92</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11800</v>
      </c>
      <c r="D31" s="20">
        <f>'DOE25'!L291+'DOE25'!L310+'DOE25'!L329+'DOE25'!L334+'DOE25'!L335+'DOE25'!L336-F31-G31-H31</f>
        <v>0</v>
      </c>
      <c r="E31" s="243"/>
      <c r="F31" s="244"/>
      <c r="G31" s="53">
        <f>'DOE25'!J291+'DOE25'!J310+'DOE25'!J329+'DOE25'!J334+'DOE25'!J335+'DOE25'!J336</f>
        <v>0</v>
      </c>
      <c r="H31" s="53">
        <f>'DOE25'!K291+'DOE25'!K310+'DOE25'!K329+'DOE25'!K334+'DOE25'!K335+'DOE25'!K336</f>
        <v>11800</v>
      </c>
      <c r="I31" s="256"/>
    </row>
    <row r="32" spans="1:9" ht="12" thickBot="1" x14ac:dyDescent="0.25">
      <c r="C32" s="276"/>
      <c r="G32" s="251"/>
      <c r="H32" s="251"/>
      <c r="I32" s="258"/>
    </row>
    <row r="33" spans="1:9" ht="12" thickTop="1" x14ac:dyDescent="0.2">
      <c r="B33" t="s">
        <v>809</v>
      </c>
      <c r="D33" s="245">
        <f t="shared" ref="D33:I33" si="1">SUM(D5:D31)</f>
        <v>976004.42999999993</v>
      </c>
      <c r="E33" s="245">
        <f t="shared" si="1"/>
        <v>47264.299999999996</v>
      </c>
      <c r="F33" s="245">
        <f t="shared" si="1"/>
        <v>44636.92</v>
      </c>
      <c r="G33" s="245">
        <f t="shared" si="1"/>
        <v>0</v>
      </c>
      <c r="H33" s="245">
        <f t="shared" si="1"/>
        <v>14617.24</v>
      </c>
      <c r="I33" s="245">
        <f t="shared" si="1"/>
        <v>0</v>
      </c>
    </row>
    <row r="35" spans="1:9" ht="12" thickBot="1" x14ac:dyDescent="0.25">
      <c r="B35" s="251" t="s">
        <v>831</v>
      </c>
      <c r="D35" s="252">
        <f>E33</f>
        <v>47264.299999999996</v>
      </c>
      <c r="E35" s="248"/>
      <c r="F35" s="335" t="s">
        <v>1632</v>
      </c>
      <c r="G35" s="336"/>
      <c r="H35" s="336"/>
      <c r="I35" s="336"/>
    </row>
    <row r="36" spans="1:9" ht="12" thickTop="1" x14ac:dyDescent="0.2">
      <c r="B36" t="s">
        <v>810</v>
      </c>
      <c r="D36" s="20">
        <f>D33</f>
        <v>976004.42999999993</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2" sqref="I3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Columbia School District</v>
      </c>
      <c r="B2" s="126">
        <f>'DOE25'!B2</f>
        <v>107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642567.76</v>
      </c>
      <c r="G4" s="302">
        <f>'DOE25'!L212+'DOE25'!L291</f>
        <v>642567.76</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f>674567.76-39552</f>
        <v>635015.76</v>
      </c>
      <c r="E5" s="293">
        <v>7552</v>
      </c>
      <c r="F5" s="306">
        <f>D5+E5</f>
        <v>642567.76</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635015.76</v>
      </c>
      <c r="E21" s="353">
        <f>SUM(E5:E20)</f>
        <v>7552</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434955.13</v>
      </c>
      <c r="G36" s="302">
        <f>'DOE25'!L248+'DOE25'!L329</f>
        <v>434955.13</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f>448707.13-18000</f>
        <v>430707.13</v>
      </c>
      <c r="E37" s="293">
        <v>4248</v>
      </c>
      <c r="F37" s="306">
        <f t="shared" ref="F37:F42" si="2">D37+E37</f>
        <v>434955.13</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430707.13</v>
      </c>
      <c r="E43" s="354">
        <f>SUM(E37:E42)</f>
        <v>4248</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Columbia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149176.75</v>
      </c>
      <c r="D8" s="95">
        <f>'DOE25'!G9</f>
        <v>0</v>
      </c>
      <c r="E8" s="95">
        <f>'DOE25'!H9</f>
        <v>0</v>
      </c>
      <c r="F8" s="95">
        <f>'DOE25'!I9</f>
        <v>0</v>
      </c>
      <c r="G8" s="95">
        <f>'DOE25'!J9</f>
        <v>268629.43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199943.29</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675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349795.04000000004</v>
      </c>
      <c r="D18" s="41">
        <f>SUM(D8:D17)</f>
        <v>0</v>
      </c>
      <c r="E18" s="41">
        <f>SUM(E8:E17)</f>
        <v>0</v>
      </c>
      <c r="F18" s="41">
        <f>SUM(F8:F17)</f>
        <v>0</v>
      </c>
      <c r="G18" s="41">
        <f>SUM(G8:G17)</f>
        <v>268629.43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3025.18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3025.18</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268629.43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346769.86</v>
      </c>
      <c r="D49" s="24" t="s">
        <v>288</v>
      </c>
      <c r="E49" s="24" t="s">
        <v>288</v>
      </c>
      <c r="F49" s="24" t="s">
        <v>288</v>
      </c>
      <c r="G49" s="24" t="s">
        <v>288</v>
      </c>
      <c r="H49" s="124"/>
      <c r="I49" s="124"/>
    </row>
    <row r="50" spans="1:9" ht="12.75" thickTop="1" thickBot="1" x14ac:dyDescent="0.25">
      <c r="A50" s="38" t="s">
        <v>884</v>
      </c>
      <c r="B50" s="48"/>
      <c r="C50" s="41">
        <f>SUM(C34:C49)</f>
        <v>346769.86</v>
      </c>
      <c r="D50" s="41">
        <f>SUM(D34:D49)</f>
        <v>0</v>
      </c>
      <c r="E50" s="41">
        <f>SUM(E34:E49)</f>
        <v>0</v>
      </c>
      <c r="F50" s="41">
        <f>SUM(F34:F49)</f>
        <v>0</v>
      </c>
      <c r="G50" s="41">
        <f>SUM(G34:G49)</f>
        <v>268629.43</v>
      </c>
      <c r="H50" s="124"/>
      <c r="I50" s="124"/>
    </row>
    <row r="51" spans="1:9" ht="12" thickTop="1" x14ac:dyDescent="0.2">
      <c r="A51" s="38" t="s">
        <v>885</v>
      </c>
      <c r="B51" s="2"/>
      <c r="C51" s="41">
        <f>C50+C31</f>
        <v>349795.04</v>
      </c>
      <c r="D51" s="41">
        <f>D50+D31</f>
        <v>0</v>
      </c>
      <c r="E51" s="41">
        <f>E50+E31</f>
        <v>0</v>
      </c>
      <c r="F51" s="41">
        <f>F50+F31</f>
        <v>0</v>
      </c>
      <c r="G51" s="41">
        <f>G50+G31</f>
        <v>268629.43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615492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14.24</v>
      </c>
      <c r="D59" s="95">
        <f>'DOE25'!G96</f>
        <v>0</v>
      </c>
      <c r="E59" s="95">
        <f>'DOE25'!H96</f>
        <v>0</v>
      </c>
      <c r="F59" s="95">
        <f>'DOE25'!I96</f>
        <v>0</v>
      </c>
      <c r="G59" s="95">
        <f>'DOE25'!J96</f>
        <v>164.04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16.64</v>
      </c>
      <c r="D62" s="130">
        <f>SUM(D57:D61)</f>
        <v>0</v>
      </c>
      <c r="E62" s="130">
        <f>SUM(E57:E61)</f>
        <v>0</v>
      </c>
      <c r="F62" s="130">
        <f>SUM(F57:F61)</f>
        <v>0</v>
      </c>
      <c r="G62" s="130">
        <f>SUM(G57:G61)</f>
        <v>164.04</v>
      </c>
      <c r="H62"/>
      <c r="I62"/>
    </row>
    <row r="63" spans="1:9" ht="12" thickTop="1" x14ac:dyDescent="0.2">
      <c r="A63" s="29" t="s">
        <v>175</v>
      </c>
      <c r="B63" s="6"/>
      <c r="C63" s="22">
        <f>C56+C62</f>
        <v>615508.64</v>
      </c>
      <c r="D63" s="22">
        <f>D56+D62</f>
        <v>0</v>
      </c>
      <c r="E63" s="22">
        <f>E56+E62</f>
        <v>0</v>
      </c>
      <c r="F63" s="22">
        <f>F56+F62</f>
        <v>0</v>
      </c>
      <c r="G63" s="22">
        <f>G56+G62</f>
        <v>164.04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375802.58</v>
      </c>
      <c r="D66" s="24" t="s">
        <v>288</v>
      </c>
      <c r="E66" s="24" t="s">
        <v>288</v>
      </c>
      <c r="F66" s="24" t="s">
        <v>288</v>
      </c>
      <c r="G66" s="24" t="s">
        <v>288</v>
      </c>
      <c r="H66"/>
      <c r="I66"/>
    </row>
    <row r="67" spans="1:9" x14ac:dyDescent="0.2">
      <c r="A67" s="1" t="s">
        <v>770</v>
      </c>
      <c r="B67" s="6">
        <v>3112</v>
      </c>
      <c r="C67" s="95">
        <f>'DOE25'!F118</f>
        <v>128653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504455.58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3617.31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3617.31</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508072.89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11800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11800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1123581.53</v>
      </c>
      <c r="D104" s="86">
        <f>D63+D81+D91+D103</f>
        <v>0</v>
      </c>
      <c r="E104" s="86">
        <f>E63+E81+E91+E103</f>
        <v>11800</v>
      </c>
      <c r="F104" s="86">
        <f>F63+F81+F91+F103</f>
        <v>0</v>
      </c>
      <c r="G104" s="86">
        <f>G63+G81+G103</f>
        <v>50164.04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872494.64</v>
      </c>
      <c r="D109" s="24" t="s">
        <v>288</v>
      </c>
      <c r="E109" s="95">
        <f>('DOE25'!L277)+('DOE25'!L296)+('DOE25'!L315)</f>
        <v>0</v>
      </c>
      <c r="F109" s="24" t="s">
        <v>288</v>
      </c>
      <c r="G109" s="24" t="s">
        <v>288</v>
      </c>
    </row>
    <row r="110" spans="1:7" x14ac:dyDescent="0.2">
      <c r="A110" t="s">
        <v>198</v>
      </c>
      <c r="B110" s="32" t="s">
        <v>199</v>
      </c>
      <c r="C110" s="95">
        <f>('DOE25'!L199)+('DOE25'!L217)+('DOE25'!L235)</f>
        <v>15046.48</v>
      </c>
      <c r="D110" s="24" t="s">
        <v>288</v>
      </c>
      <c r="E110" s="95">
        <f>('DOE25'!L278)+('DOE25'!L297)+('DOE25'!L316)</f>
        <v>0</v>
      </c>
      <c r="F110" s="24" t="s">
        <v>288</v>
      </c>
      <c r="G110" s="24" t="s">
        <v>288</v>
      </c>
    </row>
    <row r="111" spans="1:7" x14ac:dyDescent="0.2">
      <c r="A111" t="s">
        <v>200</v>
      </c>
      <c r="B111" s="32" t="s">
        <v>165</v>
      </c>
      <c r="C111" s="95">
        <f>('DOE25'!L200)+('DOE25'!L218)+('DOE25'!L236)</f>
        <v>3900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891441.12</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29681.489999999998</v>
      </c>
      <c r="D118" s="24" t="s">
        <v>288</v>
      </c>
      <c r="E118" s="95">
        <f>+('DOE25'!L282)+('DOE25'!L301)+('DOE25'!L320)</f>
        <v>11800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72156.800000000003</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72443.48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174281.77000000002</v>
      </c>
      <c r="D128" s="86">
        <f>SUM(D118:D127)</f>
        <v>0</v>
      </c>
      <c r="E128" s="86">
        <f>SUM(E118:E127)</f>
        <v>11800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50164.04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-164.04000000000087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50000</v>
      </c>
      <c r="D144" s="141">
        <f>SUM(D130:D143)</f>
        <v>0</v>
      </c>
      <c r="E144" s="141">
        <f>SUM(E130:E143)</f>
        <v>0</v>
      </c>
      <c r="F144" s="141">
        <f>SUM(F130:F143)</f>
        <v>0</v>
      </c>
      <c r="G144" s="141">
        <f>SUM(G130:G143)</f>
        <v>0</v>
      </c>
    </row>
    <row r="145" spans="1:9" ht="12.75" thickTop="1" thickBot="1" x14ac:dyDescent="0.25">
      <c r="A145" s="33" t="s">
        <v>244</v>
      </c>
      <c r="C145" s="86">
        <f>(C115+C128+C144)</f>
        <v>1115722.8900000001</v>
      </c>
      <c r="D145" s="86">
        <f>(D115+D128+D144)</f>
        <v>0</v>
      </c>
      <c r="E145" s="86">
        <f>(E115+E128+E144)</f>
        <v>11800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Columbia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872495</v>
      </c>
      <c r="D10" s="182">
        <f>ROUND((C10/$C$28)*100,1)</f>
        <v>81</v>
      </c>
    </row>
    <row r="11" spans="1:4" x14ac:dyDescent="0.2">
      <c r="A11">
        <v>1200</v>
      </c>
      <c r="B11" t="s">
        <v>703</v>
      </c>
      <c r="C11" s="179">
        <f>ROUND('DOE25'!L199+'DOE25'!L217+'DOE25'!L235+'DOE25'!L278+'DOE25'!L297+'DOE25'!L316,0)</f>
        <v>15046</v>
      </c>
      <c r="D11" s="182">
        <f>ROUND((C11/$C$28)*100,1)</f>
        <v>1.4</v>
      </c>
    </row>
    <row r="12" spans="1:4" x14ac:dyDescent="0.2">
      <c r="A12">
        <v>1300</v>
      </c>
      <c r="B12" t="s">
        <v>704</v>
      </c>
      <c r="C12" s="179">
        <f>ROUND('DOE25'!L200+'DOE25'!L218+'DOE25'!L236+'DOE25'!L279+'DOE25'!L298+'DOE25'!L317,0)</f>
        <v>3900</v>
      </c>
      <c r="D12" s="182">
        <f>ROUND((C12/$C$28)*100,1)</f>
        <v>0.4</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41481</v>
      </c>
      <c r="D15" s="182">
        <f t="shared" ref="D15:D27" si="0">ROUND((C15/$C$28)*100,1)</f>
        <v>3.8</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72157</v>
      </c>
      <c r="D17" s="182">
        <f t="shared" si="0"/>
        <v>6.7</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72443</v>
      </c>
      <c r="D21" s="182">
        <f t="shared" si="0"/>
        <v>6.7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1077522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1077522</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615492</v>
      </c>
      <c r="D35" s="182">
        <f t="shared" ref="D35:D40" si="1">ROUND((C35/$C$41)*100,1)</f>
        <v>54.2</v>
      </c>
    </row>
    <row r="36" spans="1:4" x14ac:dyDescent="0.2">
      <c r="B36" s="185" t="s">
        <v>739</v>
      </c>
      <c r="C36" s="179">
        <f>SUM('DOE25'!F112:J112)-SUM('DOE25'!G97:G110)+('DOE25'!F175+'DOE25'!F176+'DOE25'!I175+'DOE25'!I176)-C35</f>
        <v>180.68000000005122</v>
      </c>
      <c r="D36" s="182">
        <f t="shared" si="1"/>
        <v>0</v>
      </c>
    </row>
    <row r="37" spans="1:4" x14ac:dyDescent="0.2">
      <c r="A37" s="183" t="s">
        <v>835</v>
      </c>
      <c r="B37" s="185" t="s">
        <v>728</v>
      </c>
      <c r="C37" s="179">
        <f>ROUND('DOE25'!F117+'DOE25'!F118,0)</f>
        <v>504456</v>
      </c>
      <c r="D37" s="182">
        <f t="shared" si="1"/>
        <v>44.4</v>
      </c>
    </row>
    <row r="38" spans="1:4" x14ac:dyDescent="0.2">
      <c r="A38" s="183" t="s">
        <v>734</v>
      </c>
      <c r="B38" s="185" t="s">
        <v>729</v>
      </c>
      <c r="C38" s="179">
        <f>ROUND(SUM('DOE25'!F140:J140)-SUM('DOE25'!F117:F119),0)</f>
        <v>3617</v>
      </c>
      <c r="D38" s="182">
        <f t="shared" si="1"/>
        <v>0.3</v>
      </c>
    </row>
    <row r="39" spans="1:4" x14ac:dyDescent="0.2">
      <c r="A39">
        <v>4000</v>
      </c>
      <c r="B39" s="185" t="s">
        <v>730</v>
      </c>
      <c r="C39" s="179">
        <f>ROUND('DOE25'!F170+'DOE25'!G170+'DOE25'!H170+'DOE25'!I170,0)</f>
        <v>11800</v>
      </c>
      <c r="D39" s="182">
        <f t="shared" si="1"/>
        <v>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1135545.6800000002</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Columbia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2021-08-17T16:58:25Z</cp:lastPrinted>
  <dcterms:created xsi:type="dcterms:W3CDTF">1997-12-04T19:04:30Z</dcterms:created>
  <dcterms:modified xsi:type="dcterms:W3CDTF">2021-09-14T12:47:43Z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